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.3\juridica\CONTRATOS NUMERADOS\2025\INVITACIÓN SERVICIO DE ALIMENTOS\"/>
    </mc:Choice>
  </mc:AlternateContent>
  <bookViews>
    <workbookView xWindow="0" yWindow="0" windowWidth="28800" windowHeight="10980" firstSheet="5" activeTab="7"/>
  </bookViews>
  <sheets>
    <sheet name="PRESUPUESTO" sheetId="1" state="hidden" r:id="rId1"/>
    <sheet name="PRESUPUESTO (2)" sheetId="5" state="hidden" r:id="rId2"/>
    <sheet name="NOM" sheetId="2" state="hidden" r:id="rId3"/>
    <sheet name="ventas" sheetId="3" state="hidden" r:id="rId4"/>
    <sheet name="otros" sheetId="4" state="hidden" r:id="rId5"/>
    <sheet name="OFERTA ECONÓMICA PACIENTES" sheetId="10" r:id="rId6"/>
    <sheet name="OFERTA ECONÓMICA RESIDENTES" sheetId="12" r:id="rId7"/>
    <sheet name="OFERTA ECONÓMICA EVENTOS" sheetId="11" r:id="rId8"/>
    <sheet name="TARIFAS CAFETERÍA" sheetId="13" r:id="rId9"/>
  </sheets>
  <externalReferences>
    <externalReference r:id="rId10"/>
  </externalReferences>
  <definedNames>
    <definedName name="_xlnm.Print_Area" localSheetId="7">'OFERTA ECONÓMICA EVENTOS'!$A$1:$E$19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1" l="1"/>
  <c r="E14" i="11"/>
  <c r="E15" i="11"/>
  <c r="E16" i="11"/>
  <c r="E17" i="11"/>
  <c r="E18" i="11"/>
  <c r="E12" i="11"/>
  <c r="G13" i="10" l="1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12" i="10"/>
  <c r="F12" i="10"/>
  <c r="F42" i="10"/>
  <c r="F15" i="10"/>
  <c r="F18" i="10"/>
  <c r="F21" i="10"/>
  <c r="F24" i="10"/>
  <c r="F27" i="10"/>
  <c r="F30" i="10"/>
  <c r="F33" i="10"/>
  <c r="F36" i="10"/>
  <c r="F39" i="10"/>
  <c r="C12" i="11" l="1"/>
  <c r="C13" i="11"/>
  <c r="C14" i="11"/>
  <c r="C16" i="11"/>
  <c r="E152" i="5" l="1"/>
  <c r="D152" i="5"/>
  <c r="B152" i="5"/>
  <c r="D151" i="1"/>
  <c r="D136" i="1"/>
  <c r="M152" i="5" l="1"/>
  <c r="L152" i="5"/>
  <c r="K152" i="5"/>
  <c r="J152" i="5"/>
  <c r="I152" i="5"/>
  <c r="H152" i="5"/>
  <c r="G152" i="5"/>
  <c r="F152" i="5"/>
  <c r="N151" i="5"/>
  <c r="N150" i="5"/>
  <c r="N149" i="5"/>
  <c r="N148" i="5"/>
  <c r="C147" i="5"/>
  <c r="N146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P110" i="5"/>
  <c r="N110" i="5"/>
  <c r="N109" i="5"/>
  <c r="P108" i="5"/>
  <c r="N108" i="5"/>
  <c r="N107" i="5"/>
  <c r="P106" i="5"/>
  <c r="N106" i="5"/>
  <c r="M104" i="5"/>
  <c r="L104" i="5"/>
  <c r="K104" i="5"/>
  <c r="I104" i="5"/>
  <c r="H104" i="5"/>
  <c r="G104" i="5"/>
  <c r="F104" i="5"/>
  <c r="E104" i="5"/>
  <c r="C104" i="5"/>
  <c r="N103" i="5"/>
  <c r="N102" i="5"/>
  <c r="B101" i="5"/>
  <c r="N101" i="5" s="1"/>
  <c r="J100" i="5"/>
  <c r="J104" i="5" s="1"/>
  <c r="D100" i="5"/>
  <c r="D104" i="5" s="1"/>
  <c r="B100" i="5"/>
  <c r="M98" i="5"/>
  <c r="L98" i="5"/>
  <c r="K98" i="5"/>
  <c r="J98" i="5"/>
  <c r="I98" i="5"/>
  <c r="H98" i="5"/>
  <c r="G98" i="5"/>
  <c r="F98" i="5"/>
  <c r="E98" i="5"/>
  <c r="D98" i="5"/>
  <c r="C98" i="5"/>
  <c r="B98" i="5"/>
  <c r="N97" i="5"/>
  <c r="N96" i="5"/>
  <c r="N95" i="5"/>
  <c r="N94" i="5"/>
  <c r="M92" i="5"/>
  <c r="L92" i="5"/>
  <c r="K92" i="5"/>
  <c r="J92" i="5"/>
  <c r="I92" i="5"/>
  <c r="H92" i="5"/>
  <c r="G92" i="5"/>
  <c r="F92" i="5"/>
  <c r="E92" i="5"/>
  <c r="D92" i="5"/>
  <c r="C92" i="5"/>
  <c r="B92" i="5"/>
  <c r="N91" i="5"/>
  <c r="N90" i="5"/>
  <c r="M88" i="5"/>
  <c r="L88" i="5"/>
  <c r="K88" i="5"/>
  <c r="J88" i="5"/>
  <c r="I88" i="5"/>
  <c r="H88" i="5"/>
  <c r="G88" i="5"/>
  <c r="F88" i="5"/>
  <c r="E88" i="5"/>
  <c r="D88" i="5"/>
  <c r="C88" i="5"/>
  <c r="B88" i="5"/>
  <c r="N87" i="5"/>
  <c r="N88" i="5" s="1"/>
  <c r="M137" i="5"/>
  <c r="L137" i="5"/>
  <c r="K137" i="5"/>
  <c r="J137" i="5"/>
  <c r="I137" i="5"/>
  <c r="H137" i="5"/>
  <c r="G137" i="5"/>
  <c r="F137" i="5"/>
  <c r="E137" i="5"/>
  <c r="D137" i="5"/>
  <c r="C137" i="5"/>
  <c r="B137" i="5"/>
  <c r="N135" i="5"/>
  <c r="N137" i="5" s="1"/>
  <c r="M133" i="5"/>
  <c r="L133" i="5"/>
  <c r="K133" i="5"/>
  <c r="J133" i="5"/>
  <c r="I133" i="5"/>
  <c r="H133" i="5"/>
  <c r="G133" i="5"/>
  <c r="F133" i="5"/>
  <c r="E133" i="5"/>
  <c r="D133" i="5"/>
  <c r="C133" i="5"/>
  <c r="B133" i="5"/>
  <c r="N132" i="5"/>
  <c r="N133" i="5" s="1"/>
  <c r="M130" i="5"/>
  <c r="L130" i="5"/>
  <c r="K130" i="5"/>
  <c r="J130" i="5"/>
  <c r="I130" i="5"/>
  <c r="H130" i="5"/>
  <c r="G130" i="5"/>
  <c r="F130" i="5"/>
  <c r="E130" i="5"/>
  <c r="D130" i="5"/>
  <c r="C130" i="5"/>
  <c r="B130" i="5"/>
  <c r="N129" i="5"/>
  <c r="N126" i="5"/>
  <c r="M124" i="5"/>
  <c r="L124" i="5"/>
  <c r="K124" i="5"/>
  <c r="J124" i="5"/>
  <c r="I124" i="5"/>
  <c r="H124" i="5"/>
  <c r="G124" i="5"/>
  <c r="F124" i="5"/>
  <c r="E124" i="5"/>
  <c r="D124" i="5"/>
  <c r="C124" i="5"/>
  <c r="B124" i="5"/>
  <c r="N123" i="5"/>
  <c r="N122" i="5"/>
  <c r="N121" i="5"/>
  <c r="C81" i="5"/>
  <c r="B81" i="5"/>
  <c r="N80" i="5"/>
  <c r="N79" i="5"/>
  <c r="M76" i="5"/>
  <c r="L76" i="5"/>
  <c r="K76" i="5"/>
  <c r="J76" i="5"/>
  <c r="I76" i="5"/>
  <c r="H76" i="5"/>
  <c r="G76" i="5"/>
  <c r="F76" i="5"/>
  <c r="E76" i="5"/>
  <c r="D76" i="5"/>
  <c r="N75" i="5"/>
  <c r="N74" i="5"/>
  <c r="N73" i="5"/>
  <c r="M72" i="5"/>
  <c r="L72" i="5"/>
  <c r="K72" i="5"/>
  <c r="J72" i="5"/>
  <c r="I72" i="5"/>
  <c r="H72" i="5"/>
  <c r="G72" i="5"/>
  <c r="F72" i="5"/>
  <c r="E72" i="5"/>
  <c r="D72" i="5"/>
  <c r="M71" i="5"/>
  <c r="L71" i="5"/>
  <c r="K71" i="5"/>
  <c r="J71" i="5"/>
  <c r="I71" i="5"/>
  <c r="H71" i="5"/>
  <c r="G71" i="5"/>
  <c r="F71" i="5"/>
  <c r="E71" i="5"/>
  <c r="D71" i="5"/>
  <c r="M70" i="5"/>
  <c r="L70" i="5"/>
  <c r="K70" i="5"/>
  <c r="J70" i="5"/>
  <c r="I70" i="5"/>
  <c r="H70" i="5"/>
  <c r="G70" i="5"/>
  <c r="F70" i="5"/>
  <c r="E70" i="5"/>
  <c r="D70" i="5"/>
  <c r="N69" i="5"/>
  <c r="M68" i="5"/>
  <c r="L68" i="5"/>
  <c r="K68" i="5"/>
  <c r="J68" i="5"/>
  <c r="I68" i="5"/>
  <c r="H68" i="5"/>
  <c r="G68" i="5"/>
  <c r="F68" i="5"/>
  <c r="E68" i="5"/>
  <c r="D68" i="5"/>
  <c r="M64" i="5"/>
  <c r="L64" i="5"/>
  <c r="L65" i="5" s="1"/>
  <c r="K64" i="5"/>
  <c r="K65" i="5" s="1"/>
  <c r="J64" i="5"/>
  <c r="I64" i="5"/>
  <c r="H64" i="5"/>
  <c r="G64" i="5"/>
  <c r="G65" i="5" s="1"/>
  <c r="F64" i="5"/>
  <c r="E64" i="5"/>
  <c r="D64" i="5"/>
  <c r="D65" i="5" s="1"/>
  <c r="N63" i="5"/>
  <c r="N62" i="5"/>
  <c r="N61" i="5"/>
  <c r="C58" i="5"/>
  <c r="B58" i="5"/>
  <c r="N57" i="5"/>
  <c r="N55" i="5"/>
  <c r="N54" i="5"/>
  <c r="M53" i="5"/>
  <c r="L53" i="5"/>
  <c r="K53" i="5"/>
  <c r="J53" i="5"/>
  <c r="I53" i="5"/>
  <c r="H53" i="5"/>
  <c r="G53" i="5"/>
  <c r="F53" i="5"/>
  <c r="E53" i="5"/>
  <c r="D53" i="5"/>
  <c r="N52" i="5"/>
  <c r="N51" i="5"/>
  <c r="G50" i="5"/>
  <c r="J50" i="5" s="1"/>
  <c r="N50" i="5" s="1"/>
  <c r="N46" i="5"/>
  <c r="M41" i="5"/>
  <c r="L41" i="5"/>
  <c r="K41" i="5"/>
  <c r="J41" i="5"/>
  <c r="I41" i="5"/>
  <c r="H41" i="5"/>
  <c r="G41" i="5"/>
  <c r="F41" i="5"/>
  <c r="E41" i="5"/>
  <c r="D41" i="5"/>
  <c r="N40" i="5"/>
  <c r="N39" i="5"/>
  <c r="C34" i="5"/>
  <c r="B34" i="5"/>
  <c r="M27" i="5"/>
  <c r="L27" i="5"/>
  <c r="K27" i="5"/>
  <c r="J27" i="5"/>
  <c r="I27" i="5"/>
  <c r="H27" i="5"/>
  <c r="G27" i="5"/>
  <c r="F27" i="5"/>
  <c r="E27" i="5"/>
  <c r="D27" i="5"/>
  <c r="C27" i="5"/>
  <c r="B27" i="5"/>
  <c r="N26" i="5"/>
  <c r="N25" i="5"/>
  <c r="N24" i="5"/>
  <c r="N23" i="5"/>
  <c r="N22" i="5"/>
  <c r="N21" i="5"/>
  <c r="N20" i="5"/>
  <c r="C17" i="5"/>
  <c r="B17" i="5"/>
  <c r="N13" i="5"/>
  <c r="N12" i="5"/>
  <c r="N11" i="5"/>
  <c r="B83" i="5" l="1"/>
  <c r="E112" i="5"/>
  <c r="I112" i="5"/>
  <c r="F112" i="5"/>
  <c r="J112" i="5"/>
  <c r="M112" i="5"/>
  <c r="C112" i="5"/>
  <c r="G112" i="5"/>
  <c r="K112" i="5"/>
  <c r="N147" i="5"/>
  <c r="N152" i="5" s="1"/>
  <c r="C152" i="5"/>
  <c r="D112" i="5"/>
  <c r="H112" i="5"/>
  <c r="L112" i="5"/>
  <c r="B7" i="5"/>
  <c r="B82" i="5" s="1"/>
  <c r="B35" i="5"/>
  <c r="N72" i="5"/>
  <c r="D67" i="5"/>
  <c r="D66" i="5"/>
  <c r="D81" i="5" s="1"/>
  <c r="L67" i="5"/>
  <c r="L66" i="5"/>
  <c r="L81" i="5" s="1"/>
  <c r="N41" i="5"/>
  <c r="N100" i="5"/>
  <c r="N104" i="5" s="1"/>
  <c r="N53" i="5"/>
  <c r="N70" i="5"/>
  <c r="N27" i="5"/>
  <c r="H65" i="5"/>
  <c r="N68" i="5"/>
  <c r="N76" i="5"/>
  <c r="B104" i="5"/>
  <c r="B112" i="5" s="1"/>
  <c r="N111" i="5"/>
  <c r="B139" i="5"/>
  <c r="C7" i="5"/>
  <c r="G66" i="5"/>
  <c r="G67" i="5"/>
  <c r="G81" i="5" s="1"/>
  <c r="C35" i="5"/>
  <c r="B59" i="5"/>
  <c r="N71" i="5"/>
  <c r="F65" i="5"/>
  <c r="J65" i="5"/>
  <c r="N64" i="5"/>
  <c r="K66" i="5"/>
  <c r="K67" i="5"/>
  <c r="N130" i="5"/>
  <c r="N92" i="5"/>
  <c r="N98" i="5"/>
  <c r="N124" i="5"/>
  <c r="E65" i="5"/>
  <c r="I65" i="5"/>
  <c r="M65" i="5"/>
  <c r="C83" i="5"/>
  <c r="N128" i="1"/>
  <c r="N127" i="1"/>
  <c r="M129" i="1"/>
  <c r="L129" i="1"/>
  <c r="K129" i="1"/>
  <c r="I129" i="1"/>
  <c r="H129" i="1"/>
  <c r="G129" i="1"/>
  <c r="F129" i="1"/>
  <c r="E129" i="1"/>
  <c r="C129" i="1"/>
  <c r="N15" i="4"/>
  <c r="M113" i="1"/>
  <c r="L113" i="1"/>
  <c r="K113" i="1"/>
  <c r="J113" i="1"/>
  <c r="I113" i="1"/>
  <c r="H113" i="1"/>
  <c r="G113" i="1"/>
  <c r="F113" i="1"/>
  <c r="E113" i="1"/>
  <c r="D113" i="1"/>
  <c r="C113" i="1"/>
  <c r="B113" i="1"/>
  <c r="B84" i="5" l="1"/>
  <c r="B18" i="5"/>
  <c r="B28" i="5"/>
  <c r="K81" i="5"/>
  <c r="B153" i="5"/>
  <c r="C59" i="5"/>
  <c r="N112" i="5"/>
  <c r="C82" i="5"/>
  <c r="N65" i="5"/>
  <c r="C84" i="5"/>
  <c r="C153" i="5"/>
  <c r="H67" i="5"/>
  <c r="H66" i="5"/>
  <c r="C113" i="5"/>
  <c r="B113" i="5"/>
  <c r="E66" i="5"/>
  <c r="E81" i="5" s="1"/>
  <c r="E67" i="5"/>
  <c r="J66" i="5"/>
  <c r="J67" i="5"/>
  <c r="P112" i="5"/>
  <c r="B140" i="5"/>
  <c r="M66" i="5"/>
  <c r="M67" i="5"/>
  <c r="C139" i="5"/>
  <c r="C140" i="5" s="1"/>
  <c r="C141" i="5" s="1"/>
  <c r="C142" i="5" s="1"/>
  <c r="C28" i="5"/>
  <c r="I66" i="5"/>
  <c r="I67" i="5"/>
  <c r="F66" i="5"/>
  <c r="F67" i="5"/>
  <c r="C18" i="5"/>
  <c r="F81" i="5" l="1"/>
  <c r="J81" i="5"/>
  <c r="I81" i="5"/>
  <c r="M81" i="5"/>
  <c r="H81" i="5"/>
  <c r="C114" i="5"/>
  <c r="C116" i="5" s="1"/>
  <c r="B141" i="5"/>
  <c r="B114" i="5" s="1"/>
  <c r="B116" i="5" s="1"/>
  <c r="B155" i="5" s="1"/>
  <c r="C115" i="5"/>
  <c r="N67" i="5"/>
  <c r="N66" i="5"/>
  <c r="N55" i="1"/>
  <c r="F53" i="1"/>
  <c r="D71" i="2"/>
  <c r="D70" i="2"/>
  <c r="D69" i="2"/>
  <c r="D76" i="1"/>
  <c r="M76" i="1"/>
  <c r="L76" i="1"/>
  <c r="K76" i="1"/>
  <c r="J76" i="1"/>
  <c r="I76" i="1"/>
  <c r="H76" i="1"/>
  <c r="G76" i="1"/>
  <c r="F76" i="1"/>
  <c r="E76" i="1"/>
  <c r="M53" i="1"/>
  <c r="L53" i="1"/>
  <c r="K53" i="1"/>
  <c r="J53" i="1"/>
  <c r="I53" i="1"/>
  <c r="H53" i="1"/>
  <c r="G53" i="1"/>
  <c r="E53" i="1"/>
  <c r="D53" i="1"/>
  <c r="H16" i="4"/>
  <c r="D41" i="1"/>
  <c r="N40" i="1"/>
  <c r="N25" i="1"/>
  <c r="N23" i="1"/>
  <c r="D72" i="2" l="1"/>
  <c r="N81" i="5"/>
  <c r="B142" i="5"/>
  <c r="C155" i="5"/>
  <c r="C156" i="5" s="1"/>
  <c r="B115" i="5"/>
  <c r="C117" i="5"/>
  <c r="B156" i="5" l="1"/>
  <c r="B117" i="5"/>
  <c r="B25" i="2"/>
  <c r="B17" i="2"/>
  <c r="B126" i="1" l="1"/>
  <c r="B125" i="1"/>
  <c r="B129" i="1" l="1"/>
  <c r="C81" i="1"/>
  <c r="C58" i="1"/>
  <c r="C83" i="1" s="1"/>
  <c r="C136" i="1"/>
  <c r="J125" i="1" l="1"/>
  <c r="J129" i="1" s="1"/>
  <c r="D125" i="1"/>
  <c r="D129" i="1" s="1"/>
  <c r="E22" i="4" l="1"/>
  <c r="M136" i="1" l="1"/>
  <c r="L136" i="1"/>
  <c r="K136" i="1"/>
  <c r="J136" i="1"/>
  <c r="I136" i="1"/>
  <c r="H136" i="1"/>
  <c r="G136" i="1"/>
  <c r="F136" i="1"/>
  <c r="E136" i="1"/>
  <c r="B136" i="1"/>
  <c r="B22" i="4" l="1"/>
  <c r="N122" i="1" l="1"/>
  <c r="N121" i="1"/>
  <c r="N120" i="1"/>
  <c r="N119" i="1"/>
  <c r="M123" i="1"/>
  <c r="L123" i="1"/>
  <c r="K123" i="1"/>
  <c r="J123" i="1"/>
  <c r="J137" i="1" s="1"/>
  <c r="I123" i="1"/>
  <c r="H123" i="1"/>
  <c r="G123" i="1"/>
  <c r="F123" i="1"/>
  <c r="F137" i="1" s="1"/>
  <c r="E123" i="1"/>
  <c r="D123" i="1"/>
  <c r="C123" i="1"/>
  <c r="C137" i="1" s="1"/>
  <c r="B123" i="1"/>
  <c r="B137" i="1" s="1"/>
  <c r="N115" i="1"/>
  <c r="N116" i="1"/>
  <c r="B117" i="1"/>
  <c r="M117" i="1"/>
  <c r="L117" i="1"/>
  <c r="K117" i="1"/>
  <c r="J117" i="1"/>
  <c r="I117" i="1"/>
  <c r="H117" i="1"/>
  <c r="G117" i="1"/>
  <c r="F117" i="1"/>
  <c r="E117" i="1"/>
  <c r="D117" i="1"/>
  <c r="C117" i="1"/>
  <c r="C146" i="1"/>
  <c r="G137" i="1" l="1"/>
  <c r="K137" i="1"/>
  <c r="D137" i="1"/>
  <c r="H137" i="1"/>
  <c r="L137" i="1"/>
  <c r="E137" i="1"/>
  <c r="I137" i="1"/>
  <c r="M137" i="1"/>
  <c r="N123" i="1"/>
  <c r="N117" i="1"/>
  <c r="N112" i="1"/>
  <c r="N113" i="1" s="1"/>
  <c r="N98" i="1"/>
  <c r="N101" i="1" l="1"/>
  <c r="N89" i="1"/>
  <c r="K15" i="4" l="1"/>
  <c r="G50" i="1" l="1"/>
  <c r="J50" i="1" s="1"/>
  <c r="M41" i="1"/>
  <c r="L41" i="1"/>
  <c r="K41" i="1"/>
  <c r="J41" i="1"/>
  <c r="I41" i="1"/>
  <c r="H41" i="1"/>
  <c r="G41" i="1"/>
  <c r="F41" i="1"/>
  <c r="E41" i="1"/>
  <c r="E15" i="4" l="1"/>
  <c r="N80" i="1"/>
  <c r="N79" i="1"/>
  <c r="N76" i="1"/>
  <c r="N75" i="1"/>
  <c r="N74" i="1"/>
  <c r="N73" i="1"/>
  <c r="N69" i="1"/>
  <c r="N63" i="1"/>
  <c r="N62" i="1"/>
  <c r="N61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/>
  <c r="E70" i="1"/>
  <c r="M68" i="1"/>
  <c r="L68" i="1"/>
  <c r="K68" i="1"/>
  <c r="J68" i="1"/>
  <c r="I68" i="1"/>
  <c r="H68" i="1"/>
  <c r="G68" i="1"/>
  <c r="F68" i="1"/>
  <c r="E68" i="1"/>
  <c r="M64" i="1"/>
  <c r="M65" i="1" s="1"/>
  <c r="L64" i="1"/>
  <c r="L65" i="1" s="1"/>
  <c r="L67" i="1" s="1"/>
  <c r="K64" i="1"/>
  <c r="K65" i="1" s="1"/>
  <c r="J64" i="1"/>
  <c r="J65" i="1" s="1"/>
  <c r="I64" i="1"/>
  <c r="I65" i="1" s="1"/>
  <c r="H64" i="1"/>
  <c r="H65" i="1" s="1"/>
  <c r="H66" i="1" s="1"/>
  <c r="G64" i="1"/>
  <c r="G65" i="1" s="1"/>
  <c r="F64" i="1"/>
  <c r="F65" i="1" s="1"/>
  <c r="E64" i="1"/>
  <c r="E65" i="1" s="1"/>
  <c r="D72" i="1"/>
  <c r="D71" i="1"/>
  <c r="D70" i="1"/>
  <c r="D68" i="1"/>
  <c r="D64" i="1"/>
  <c r="N71" i="1" l="1"/>
  <c r="N70" i="1"/>
  <c r="N64" i="1"/>
  <c r="D65" i="1"/>
  <c r="N65" i="1" s="1"/>
  <c r="N72" i="1"/>
  <c r="N68" i="1"/>
  <c r="I67" i="1"/>
  <c r="I66" i="1"/>
  <c r="F66" i="1"/>
  <c r="F67" i="1"/>
  <c r="J66" i="1"/>
  <c r="J67" i="1"/>
  <c r="E67" i="1"/>
  <c r="E66" i="1"/>
  <c r="M67" i="1"/>
  <c r="M66" i="1"/>
  <c r="G67" i="1"/>
  <c r="G66" i="1"/>
  <c r="K67" i="1"/>
  <c r="K66" i="1"/>
  <c r="L66" i="1"/>
  <c r="H67" i="1"/>
  <c r="D67" i="1" l="1"/>
  <c r="N67" i="1" s="1"/>
  <c r="D66" i="1"/>
  <c r="N66" i="1" s="1"/>
  <c r="B58" i="1"/>
  <c r="N41" i="1"/>
  <c r="N57" i="1"/>
  <c r="N54" i="1"/>
  <c r="N53" i="1"/>
  <c r="N52" i="1"/>
  <c r="N51" i="1"/>
  <c r="N50" i="1"/>
  <c r="N46" i="1"/>
  <c r="N39" i="1"/>
  <c r="D81" i="1" l="1"/>
  <c r="B15" i="4"/>
  <c r="N8" i="4"/>
  <c r="K8" i="4"/>
  <c r="H8" i="4"/>
  <c r="N26" i="1"/>
  <c r="N24" i="1"/>
  <c r="N22" i="1"/>
  <c r="N21" i="1"/>
  <c r="E8" i="4" l="1"/>
  <c r="B8" i="4"/>
  <c r="D2" i="4"/>
  <c r="E2" i="4" s="1"/>
  <c r="D63" i="2" l="1"/>
  <c r="D62" i="2"/>
  <c r="E62" i="2" s="1"/>
  <c r="D61" i="2"/>
  <c r="E61" i="2" s="1"/>
  <c r="E64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8" i="2"/>
  <c r="E38" i="2" s="1"/>
  <c r="D37" i="2"/>
  <c r="E37" i="2" s="1"/>
  <c r="D36" i="2"/>
  <c r="E36" i="2" s="1"/>
  <c r="D35" i="2"/>
  <c r="E35" i="2" s="1"/>
  <c r="D34" i="2"/>
  <c r="E34" i="2" s="1"/>
  <c r="D31" i="2"/>
  <c r="E31" i="2" s="1"/>
  <c r="D30" i="2"/>
  <c r="E30" i="2" s="1"/>
  <c r="D29" i="2"/>
  <c r="E29" i="2" s="1"/>
  <c r="E28" i="2"/>
  <c r="D28" i="2"/>
  <c r="D27" i="2"/>
  <c r="E27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I16" i="1"/>
  <c r="N42" i="3"/>
  <c r="M16" i="1" s="1"/>
  <c r="M42" i="3"/>
  <c r="L42" i="3"/>
  <c r="K16" i="1" s="1"/>
  <c r="K42" i="3"/>
  <c r="J16" i="1" s="1"/>
  <c r="J42" i="3"/>
  <c r="I42" i="3"/>
  <c r="H42" i="3"/>
  <c r="G16" i="1" s="1"/>
  <c r="G42" i="3"/>
  <c r="F16" i="1" s="1"/>
  <c r="F42" i="3"/>
  <c r="E16" i="1" s="1"/>
  <c r="E42" i="3"/>
  <c r="N41" i="3"/>
  <c r="M15" i="1" s="1"/>
  <c r="M41" i="3"/>
  <c r="L15" i="1" s="1"/>
  <c r="L41" i="3"/>
  <c r="K15" i="1" s="1"/>
  <c r="K41" i="3"/>
  <c r="J41" i="3"/>
  <c r="I15" i="1" s="1"/>
  <c r="I41" i="3"/>
  <c r="H15" i="1" s="1"/>
  <c r="H41" i="3"/>
  <c r="G15" i="1" s="1"/>
  <c r="G41" i="3"/>
  <c r="F41" i="3"/>
  <c r="E15" i="1" s="1"/>
  <c r="E41" i="3"/>
  <c r="D15" i="1" s="1"/>
  <c r="N40" i="3"/>
  <c r="M14" i="1" s="1"/>
  <c r="M40" i="3"/>
  <c r="L40" i="3"/>
  <c r="K14" i="1" s="1"/>
  <c r="K40" i="3"/>
  <c r="J14" i="1" s="1"/>
  <c r="J40" i="3"/>
  <c r="I14" i="1" s="1"/>
  <c r="I40" i="3"/>
  <c r="H40" i="3"/>
  <c r="G14" i="1" s="1"/>
  <c r="G40" i="3"/>
  <c r="F14" i="1" s="1"/>
  <c r="F40" i="3"/>
  <c r="E14" i="1" s="1"/>
  <c r="E40" i="3"/>
  <c r="N36" i="3"/>
  <c r="M10" i="1" s="1"/>
  <c r="M36" i="3"/>
  <c r="L10" i="1" s="1"/>
  <c r="L36" i="3"/>
  <c r="K10" i="1" s="1"/>
  <c r="K36" i="3"/>
  <c r="J36" i="3"/>
  <c r="I10" i="1" s="1"/>
  <c r="I36" i="3"/>
  <c r="H10" i="1" s="1"/>
  <c r="H36" i="3"/>
  <c r="G10" i="1" s="1"/>
  <c r="G36" i="3"/>
  <c r="F36" i="3"/>
  <c r="E10" i="1" s="1"/>
  <c r="E36" i="3"/>
  <c r="D10" i="1" s="1"/>
  <c r="C33" i="3"/>
  <c r="B33" i="3"/>
  <c r="W32" i="3"/>
  <c r="U32" i="3"/>
  <c r="S32" i="3"/>
  <c r="Q32" i="3"/>
  <c r="O32" i="3"/>
  <c r="M32" i="3"/>
  <c r="K32" i="3"/>
  <c r="I32" i="3"/>
  <c r="G32" i="3"/>
  <c r="E32" i="3"/>
  <c r="W31" i="3"/>
  <c r="U31" i="3"/>
  <c r="S31" i="3"/>
  <c r="Q31" i="3"/>
  <c r="O31" i="3"/>
  <c r="M31" i="3"/>
  <c r="K31" i="3"/>
  <c r="I31" i="3"/>
  <c r="G31" i="3"/>
  <c r="E31" i="3"/>
  <c r="W30" i="3"/>
  <c r="U30" i="3"/>
  <c r="S30" i="3"/>
  <c r="Q30" i="3"/>
  <c r="O30" i="3"/>
  <c r="M30" i="3"/>
  <c r="K30" i="3"/>
  <c r="I30" i="3"/>
  <c r="G30" i="3"/>
  <c r="E30" i="3"/>
  <c r="W29" i="3"/>
  <c r="U29" i="3"/>
  <c r="S29" i="3"/>
  <c r="Q29" i="3"/>
  <c r="O29" i="3"/>
  <c r="M29" i="3"/>
  <c r="K29" i="3"/>
  <c r="I29" i="3"/>
  <c r="G29" i="3"/>
  <c r="E29" i="3"/>
  <c r="W28" i="3"/>
  <c r="U28" i="3"/>
  <c r="S28" i="3"/>
  <c r="Q28" i="3"/>
  <c r="O28" i="3"/>
  <c r="M28" i="3"/>
  <c r="K28" i="3"/>
  <c r="I28" i="3"/>
  <c r="G28" i="3"/>
  <c r="E28" i="3"/>
  <c r="W27" i="3"/>
  <c r="U27" i="3"/>
  <c r="S27" i="3"/>
  <c r="Q27" i="3"/>
  <c r="O27" i="3"/>
  <c r="M27" i="3"/>
  <c r="K27" i="3"/>
  <c r="I27" i="3"/>
  <c r="G27" i="3"/>
  <c r="E27" i="3"/>
  <c r="W26" i="3"/>
  <c r="U26" i="3"/>
  <c r="S26" i="3"/>
  <c r="Q26" i="3"/>
  <c r="O26" i="3"/>
  <c r="M26" i="3"/>
  <c r="K26" i="3"/>
  <c r="I26" i="3"/>
  <c r="G26" i="3"/>
  <c r="E26" i="3"/>
  <c r="J18" i="3"/>
  <c r="I18" i="3"/>
  <c r="H18" i="3"/>
  <c r="G18" i="3"/>
  <c r="F18" i="3"/>
  <c r="E18" i="3"/>
  <c r="D18" i="3"/>
  <c r="J17" i="3"/>
  <c r="I17" i="3"/>
  <c r="H17" i="3"/>
  <c r="G17" i="3"/>
  <c r="F17" i="3"/>
  <c r="E17" i="3"/>
  <c r="D17" i="3"/>
  <c r="J15" i="3"/>
  <c r="I15" i="3"/>
  <c r="H15" i="3"/>
  <c r="G15" i="3"/>
  <c r="F15" i="3"/>
  <c r="E15" i="3"/>
  <c r="D15" i="3"/>
  <c r="J11" i="3"/>
  <c r="I11" i="3"/>
  <c r="H11" i="3"/>
  <c r="G11" i="3"/>
  <c r="F11" i="3"/>
  <c r="E11" i="3"/>
  <c r="D11" i="3"/>
  <c r="S33" i="3" l="1"/>
  <c r="I33" i="3"/>
  <c r="K33" i="3"/>
  <c r="Q33" i="3"/>
  <c r="E33" i="3"/>
  <c r="M33" i="3"/>
  <c r="U33" i="3"/>
  <c r="G20" i="3"/>
  <c r="V27" i="3" s="1"/>
  <c r="F10" i="5"/>
  <c r="H14" i="5"/>
  <c r="J15" i="5"/>
  <c r="L16" i="5"/>
  <c r="E39" i="2"/>
  <c r="D20" i="3"/>
  <c r="V26" i="3" s="1"/>
  <c r="H20" i="3"/>
  <c r="H29" i="3" s="1"/>
  <c r="G10" i="5"/>
  <c r="K10" i="5"/>
  <c r="E14" i="5"/>
  <c r="I14" i="5"/>
  <c r="M14" i="5"/>
  <c r="G15" i="5"/>
  <c r="K15" i="5"/>
  <c r="E16" i="5"/>
  <c r="I16" i="5"/>
  <c r="M16" i="5"/>
  <c r="E17" i="2"/>
  <c r="J10" i="5"/>
  <c r="L14" i="5"/>
  <c r="D16" i="5"/>
  <c r="E20" i="3"/>
  <c r="R28" i="3" s="1"/>
  <c r="G33" i="3"/>
  <c r="W33" i="3"/>
  <c r="D10" i="5"/>
  <c r="H10" i="5"/>
  <c r="L10" i="5"/>
  <c r="F14" i="5"/>
  <c r="J14" i="5"/>
  <c r="D15" i="5"/>
  <c r="H15" i="5"/>
  <c r="L15" i="5"/>
  <c r="F16" i="5"/>
  <c r="J16" i="5"/>
  <c r="D14" i="5"/>
  <c r="F15" i="5"/>
  <c r="H16" i="5"/>
  <c r="I20" i="3"/>
  <c r="T31" i="3" s="1"/>
  <c r="O33" i="3"/>
  <c r="F20" i="3"/>
  <c r="X30" i="3" s="1"/>
  <c r="J20" i="3"/>
  <c r="H32" i="3" s="1"/>
  <c r="E10" i="5"/>
  <c r="I10" i="5"/>
  <c r="M10" i="5"/>
  <c r="G14" i="5"/>
  <c r="K14" i="5"/>
  <c r="E15" i="5"/>
  <c r="I15" i="5"/>
  <c r="M15" i="5"/>
  <c r="G16" i="5"/>
  <c r="K16" i="5"/>
  <c r="F10" i="1"/>
  <c r="J10" i="1"/>
  <c r="D14" i="1"/>
  <c r="H14" i="1"/>
  <c r="L14" i="1"/>
  <c r="F15" i="1"/>
  <c r="J15" i="1"/>
  <c r="D16" i="1"/>
  <c r="H16" i="1"/>
  <c r="L16" i="1"/>
  <c r="E59" i="2"/>
  <c r="E25" i="2"/>
  <c r="E47" i="2"/>
  <c r="E32" i="2"/>
  <c r="P28" i="3"/>
  <c r="L31" i="3"/>
  <c r="X31" i="3"/>
  <c r="R31" i="3"/>
  <c r="J26" i="3"/>
  <c r="L103" i="1"/>
  <c r="K103" i="1"/>
  <c r="J103" i="1"/>
  <c r="I103" i="1"/>
  <c r="H103" i="1"/>
  <c r="G103" i="1"/>
  <c r="F103" i="1"/>
  <c r="E103" i="1"/>
  <c r="D103" i="1"/>
  <c r="C103" i="1"/>
  <c r="B103" i="1"/>
  <c r="M103" i="1"/>
  <c r="M99" i="1"/>
  <c r="L99" i="1"/>
  <c r="K99" i="1"/>
  <c r="J99" i="1"/>
  <c r="I99" i="1"/>
  <c r="H99" i="1"/>
  <c r="G99" i="1"/>
  <c r="F99" i="1"/>
  <c r="E99" i="1"/>
  <c r="D99" i="1"/>
  <c r="C99" i="1"/>
  <c r="B99" i="1"/>
  <c r="F28" i="3" l="1"/>
  <c r="J27" i="3"/>
  <c r="N27" i="3"/>
  <c r="F29" i="3"/>
  <c r="T32" i="3"/>
  <c r="V28" i="3"/>
  <c r="P30" i="3"/>
  <c r="X28" i="3"/>
  <c r="X29" i="3"/>
  <c r="H28" i="3"/>
  <c r="J29" i="3"/>
  <c r="N30" i="3"/>
  <c r="T29" i="3"/>
  <c r="P29" i="3"/>
  <c r="T27" i="3"/>
  <c r="J28" i="3"/>
  <c r="N29" i="3"/>
  <c r="T28" i="3"/>
  <c r="R30" i="3"/>
  <c r="L29" i="3"/>
  <c r="T26" i="3"/>
  <c r="V29" i="3"/>
  <c r="X27" i="3"/>
  <c r="R32" i="3"/>
  <c r="L32" i="3"/>
  <c r="F32" i="3"/>
  <c r="V32" i="3"/>
  <c r="E65" i="2"/>
  <c r="L28" i="3"/>
  <c r="L27" i="3"/>
  <c r="H27" i="3"/>
  <c r="R27" i="3"/>
  <c r="N28" i="3"/>
  <c r="J32" i="3"/>
  <c r="F30" i="3"/>
  <c r="V30" i="3"/>
  <c r="R29" i="3"/>
  <c r="P27" i="3"/>
  <c r="T30" i="3"/>
  <c r="F27" i="3"/>
  <c r="N32" i="3"/>
  <c r="J30" i="3"/>
  <c r="N15" i="5"/>
  <c r="X32" i="3"/>
  <c r="X26" i="3"/>
  <c r="X33" i="3" s="1"/>
  <c r="L26" i="3"/>
  <c r="N26" i="3"/>
  <c r="F31" i="3"/>
  <c r="V31" i="3"/>
  <c r="P31" i="3"/>
  <c r="N14" i="5"/>
  <c r="P32" i="3"/>
  <c r="H30" i="3"/>
  <c r="P26" i="3"/>
  <c r="R26" i="3"/>
  <c r="J31" i="3"/>
  <c r="H31" i="3"/>
  <c r="N10" i="5"/>
  <c r="L30" i="3"/>
  <c r="H26" i="3"/>
  <c r="F26" i="3"/>
  <c r="N31" i="3"/>
  <c r="N16" i="5"/>
  <c r="N99" i="1"/>
  <c r="N103" i="1"/>
  <c r="T33" i="3" l="1"/>
  <c r="R33" i="3"/>
  <c r="N33" i="3"/>
  <c r="L33" i="3"/>
  <c r="G9" i="1" s="1"/>
  <c r="G17" i="1" s="1"/>
  <c r="P33" i="3"/>
  <c r="I9" i="5" s="1"/>
  <c r="I17" i="5" s="1"/>
  <c r="F33" i="3"/>
  <c r="V33" i="3"/>
  <c r="L9" i="5" s="1"/>
  <c r="L17" i="5" s="1"/>
  <c r="J33" i="3"/>
  <c r="F9" i="1" s="1"/>
  <c r="F17" i="1" s="1"/>
  <c r="G9" i="5"/>
  <c r="G17" i="5" s="1"/>
  <c r="L9" i="1"/>
  <c r="L17" i="1" s="1"/>
  <c r="K38" i="5"/>
  <c r="G38" i="5"/>
  <c r="H38" i="5"/>
  <c r="J38" i="5"/>
  <c r="F38" i="5"/>
  <c r="L38" i="5"/>
  <c r="M38" i="5"/>
  <c r="I38" i="5"/>
  <c r="E38" i="5"/>
  <c r="D38" i="5"/>
  <c r="D9" i="1"/>
  <c r="M9" i="5"/>
  <c r="M17" i="5" s="1"/>
  <c r="M9" i="1"/>
  <c r="M17" i="1" s="1"/>
  <c r="K9" i="5"/>
  <c r="K17" i="5" s="1"/>
  <c r="K9" i="1"/>
  <c r="K17" i="1" s="1"/>
  <c r="H33" i="3"/>
  <c r="J9" i="5"/>
  <c r="J17" i="5" s="1"/>
  <c r="J9" i="1"/>
  <c r="J17" i="1" s="1"/>
  <c r="J38" i="1"/>
  <c r="F38" i="1"/>
  <c r="H38" i="1"/>
  <c r="D38" i="1"/>
  <c r="K38" i="1"/>
  <c r="M38" i="1"/>
  <c r="I38" i="1"/>
  <c r="E38" i="1"/>
  <c r="L38" i="1"/>
  <c r="G38" i="1"/>
  <c r="L151" i="1"/>
  <c r="K151" i="1"/>
  <c r="J151" i="1"/>
  <c r="I151" i="1"/>
  <c r="H151" i="1"/>
  <c r="G151" i="1"/>
  <c r="F151" i="1"/>
  <c r="E151" i="1"/>
  <c r="C151" i="1"/>
  <c r="B151" i="1"/>
  <c r="N149" i="1"/>
  <c r="N148" i="1"/>
  <c r="N147" i="1"/>
  <c r="N146" i="1"/>
  <c r="N145" i="1"/>
  <c r="P135" i="1"/>
  <c r="N134" i="1"/>
  <c r="N133" i="1"/>
  <c r="N132" i="1"/>
  <c r="N131" i="1"/>
  <c r="N126" i="1"/>
  <c r="L96" i="1"/>
  <c r="K96" i="1"/>
  <c r="J96" i="1"/>
  <c r="I96" i="1"/>
  <c r="H96" i="1"/>
  <c r="G96" i="1"/>
  <c r="F96" i="1"/>
  <c r="E96" i="1"/>
  <c r="D96" i="1"/>
  <c r="N95" i="1"/>
  <c r="M96" i="1"/>
  <c r="B96" i="1"/>
  <c r="M90" i="1"/>
  <c r="L90" i="1"/>
  <c r="K90" i="1"/>
  <c r="J90" i="1"/>
  <c r="I90" i="1"/>
  <c r="H90" i="1"/>
  <c r="G90" i="1"/>
  <c r="F90" i="1"/>
  <c r="E90" i="1"/>
  <c r="D90" i="1"/>
  <c r="B90" i="1"/>
  <c r="N87" i="1"/>
  <c r="L81" i="1"/>
  <c r="K81" i="1"/>
  <c r="J81" i="1"/>
  <c r="I81" i="1"/>
  <c r="H81" i="1"/>
  <c r="G81" i="1"/>
  <c r="F81" i="1"/>
  <c r="E81" i="1"/>
  <c r="B81" i="1"/>
  <c r="M81" i="1"/>
  <c r="C34" i="1"/>
  <c r="B34" i="1"/>
  <c r="L27" i="1"/>
  <c r="K27" i="1"/>
  <c r="J27" i="1"/>
  <c r="I27" i="1"/>
  <c r="H27" i="1"/>
  <c r="G27" i="1"/>
  <c r="F27" i="1"/>
  <c r="E27" i="1"/>
  <c r="D27" i="1"/>
  <c r="C27" i="1"/>
  <c r="B27" i="1"/>
  <c r="N20" i="1"/>
  <c r="D17" i="1"/>
  <c r="D138" i="1" s="1"/>
  <c r="C17" i="1"/>
  <c r="B17" i="1"/>
  <c r="B138" i="1" s="1"/>
  <c r="N16" i="1"/>
  <c r="N15" i="1"/>
  <c r="N14" i="1"/>
  <c r="N13" i="1"/>
  <c r="N12" i="1"/>
  <c r="N11" i="1"/>
  <c r="N10" i="1"/>
  <c r="H9" i="5" l="1"/>
  <c r="H17" i="5" s="1"/>
  <c r="F9" i="5"/>
  <c r="F17" i="5" s="1"/>
  <c r="D9" i="5"/>
  <c r="I9" i="1"/>
  <c r="I17" i="1" s="1"/>
  <c r="H9" i="1"/>
  <c r="H17" i="1" s="1"/>
  <c r="H33" i="1" s="1"/>
  <c r="M32" i="5"/>
  <c r="M7" i="5"/>
  <c r="M31" i="5"/>
  <c r="M33" i="5"/>
  <c r="M113" i="5"/>
  <c r="M47" i="5"/>
  <c r="M42" i="5"/>
  <c r="M49" i="5"/>
  <c r="M48" i="5"/>
  <c r="J33" i="5"/>
  <c r="J32" i="5"/>
  <c r="J113" i="5"/>
  <c r="J7" i="5"/>
  <c r="J18" i="5" s="1"/>
  <c r="J31" i="5"/>
  <c r="K32" i="5"/>
  <c r="K33" i="5"/>
  <c r="K31" i="5"/>
  <c r="K113" i="5"/>
  <c r="K7" i="5"/>
  <c r="D48" i="5"/>
  <c r="J45" i="5"/>
  <c r="M45" i="5"/>
  <c r="D42" i="5"/>
  <c r="L45" i="5"/>
  <c r="K45" i="5"/>
  <c r="D49" i="5"/>
  <c r="N38" i="5"/>
  <c r="I45" i="5"/>
  <c r="D47" i="5"/>
  <c r="H45" i="5"/>
  <c r="E45" i="5"/>
  <c r="F45" i="5"/>
  <c r="D45" i="5"/>
  <c r="G45" i="5"/>
  <c r="L47" i="5"/>
  <c r="L49" i="5"/>
  <c r="L48" i="5"/>
  <c r="L42" i="5"/>
  <c r="G42" i="5"/>
  <c r="G48" i="5"/>
  <c r="G47" i="5"/>
  <c r="G49" i="5"/>
  <c r="E42" i="5"/>
  <c r="E49" i="5"/>
  <c r="E47" i="5"/>
  <c r="E48" i="5"/>
  <c r="F49" i="5"/>
  <c r="F47" i="5"/>
  <c r="F48" i="5"/>
  <c r="F42" i="5"/>
  <c r="K42" i="5"/>
  <c r="K47" i="5"/>
  <c r="K49" i="5"/>
  <c r="K48" i="5"/>
  <c r="L31" i="5"/>
  <c r="L32" i="5"/>
  <c r="L7" i="5"/>
  <c r="L33" i="5"/>
  <c r="L113" i="5"/>
  <c r="I7" i="5"/>
  <c r="I18" i="5" s="1"/>
  <c r="I33" i="5"/>
  <c r="I31" i="5"/>
  <c r="I32" i="5"/>
  <c r="I113" i="5"/>
  <c r="F7" i="5"/>
  <c r="F31" i="5"/>
  <c r="F33" i="5"/>
  <c r="F113" i="5"/>
  <c r="F32" i="5"/>
  <c r="H48" i="5"/>
  <c r="H42" i="5"/>
  <c r="H47" i="5"/>
  <c r="H49" i="5"/>
  <c r="E9" i="5"/>
  <c r="E17" i="5" s="1"/>
  <c r="E9" i="1"/>
  <c r="D17" i="5"/>
  <c r="I42" i="5"/>
  <c r="I49" i="5"/>
  <c r="I48" i="5"/>
  <c r="I47" i="5"/>
  <c r="J42" i="5"/>
  <c r="J47" i="5"/>
  <c r="J48" i="5"/>
  <c r="J49" i="5"/>
  <c r="H33" i="5"/>
  <c r="H31" i="5"/>
  <c r="H32" i="5"/>
  <c r="H34" i="5" s="1"/>
  <c r="H113" i="5"/>
  <c r="H7" i="5"/>
  <c r="H18" i="5"/>
  <c r="G33" i="5"/>
  <c r="G7" i="5"/>
  <c r="G113" i="5"/>
  <c r="G31" i="5"/>
  <c r="G32" i="5"/>
  <c r="G31" i="1"/>
  <c r="G32" i="1"/>
  <c r="G33" i="1"/>
  <c r="D32" i="1"/>
  <c r="D33" i="1"/>
  <c r="D31" i="1"/>
  <c r="L31" i="1"/>
  <c r="L32" i="1"/>
  <c r="L33" i="1"/>
  <c r="F33" i="1"/>
  <c r="F32" i="1"/>
  <c r="F31" i="1"/>
  <c r="J33" i="1"/>
  <c r="J32" i="1"/>
  <c r="J31" i="1"/>
  <c r="K31" i="1"/>
  <c r="K33" i="1"/>
  <c r="K32" i="1"/>
  <c r="I33" i="1"/>
  <c r="I32" i="1"/>
  <c r="I31" i="1"/>
  <c r="M33" i="1"/>
  <c r="M31" i="1"/>
  <c r="M32" i="1"/>
  <c r="B83" i="1"/>
  <c r="E42" i="1"/>
  <c r="E48" i="1"/>
  <c r="E47" i="1"/>
  <c r="E49" i="1"/>
  <c r="I45" i="1"/>
  <c r="H45" i="1"/>
  <c r="J45" i="1"/>
  <c r="D49" i="1"/>
  <c r="D42" i="1"/>
  <c r="D47" i="1"/>
  <c r="M45" i="1"/>
  <c r="G45" i="1"/>
  <c r="E45" i="1"/>
  <c r="D45" i="1"/>
  <c r="F45" i="1"/>
  <c r="D48" i="1"/>
  <c r="K45" i="1"/>
  <c r="L45" i="1"/>
  <c r="N38" i="1"/>
  <c r="I42" i="1"/>
  <c r="I48" i="1"/>
  <c r="I49" i="1"/>
  <c r="I47" i="1"/>
  <c r="H42" i="1"/>
  <c r="H49" i="1"/>
  <c r="H48" i="1"/>
  <c r="H47" i="1"/>
  <c r="G42" i="1"/>
  <c r="G47" i="1"/>
  <c r="G49" i="1"/>
  <c r="G48" i="1"/>
  <c r="M42" i="1"/>
  <c r="M49" i="1"/>
  <c r="M47" i="1"/>
  <c r="M48" i="1"/>
  <c r="F48" i="1"/>
  <c r="F49" i="1"/>
  <c r="F42" i="1"/>
  <c r="F47" i="1"/>
  <c r="L42" i="1"/>
  <c r="L47" i="1"/>
  <c r="L48" i="1"/>
  <c r="L49" i="1"/>
  <c r="K42" i="1"/>
  <c r="K49" i="1"/>
  <c r="K48" i="1"/>
  <c r="K47" i="1"/>
  <c r="J49" i="1"/>
  <c r="J42" i="1"/>
  <c r="J48" i="1"/>
  <c r="J47" i="1"/>
  <c r="B35" i="1"/>
  <c r="J7" i="1"/>
  <c r="J82" i="1" s="1"/>
  <c r="K7" i="1"/>
  <c r="K82" i="1" s="1"/>
  <c r="L7" i="1"/>
  <c r="L82" i="1" s="1"/>
  <c r="D7" i="1"/>
  <c r="D82" i="1" s="1"/>
  <c r="G7" i="1"/>
  <c r="G82" i="1" s="1"/>
  <c r="G138" i="1"/>
  <c r="L138" i="1"/>
  <c r="J138" i="1"/>
  <c r="C96" i="1"/>
  <c r="F138" i="1"/>
  <c r="K138" i="1"/>
  <c r="M27" i="1"/>
  <c r="M7" i="1" s="1"/>
  <c r="M82" i="1" s="1"/>
  <c r="N92" i="1"/>
  <c r="N96" i="1" s="1"/>
  <c r="N81" i="1"/>
  <c r="N125" i="1"/>
  <c r="N129" i="1" s="1"/>
  <c r="P133" i="1"/>
  <c r="M151" i="1"/>
  <c r="C7" i="1"/>
  <c r="I7" i="1"/>
  <c r="I82" i="1" s="1"/>
  <c r="I138" i="1"/>
  <c r="B7" i="1"/>
  <c r="F7" i="1"/>
  <c r="F82" i="1" s="1"/>
  <c r="C35" i="1"/>
  <c r="C90" i="1"/>
  <c r="N88" i="1"/>
  <c r="N90" i="1" s="1"/>
  <c r="P131" i="1"/>
  <c r="N135" i="1"/>
  <c r="N136" i="1" s="1"/>
  <c r="N150" i="1"/>
  <c r="N151" i="1" s="1"/>
  <c r="H31" i="1" l="1"/>
  <c r="D34" i="1"/>
  <c r="H32" i="1"/>
  <c r="H7" i="1"/>
  <c r="H82" i="1" s="1"/>
  <c r="H138" i="1"/>
  <c r="G153" i="5"/>
  <c r="G139" i="5"/>
  <c r="G140" i="5" s="1"/>
  <c r="G28" i="5"/>
  <c r="G82" i="5"/>
  <c r="E17" i="1"/>
  <c r="N9" i="1"/>
  <c r="N17" i="1" s="1"/>
  <c r="F18" i="5"/>
  <c r="F153" i="5"/>
  <c r="F28" i="5"/>
  <c r="F139" i="5"/>
  <c r="F82" i="5"/>
  <c r="N48" i="5"/>
  <c r="M44" i="5"/>
  <c r="M43" i="5"/>
  <c r="G18" i="5"/>
  <c r="H35" i="5"/>
  <c r="I43" i="5"/>
  <c r="I44" i="5"/>
  <c r="E32" i="5"/>
  <c r="E33" i="5"/>
  <c r="E7" i="5"/>
  <c r="E113" i="5"/>
  <c r="E31" i="5"/>
  <c r="K44" i="5"/>
  <c r="K43" i="5"/>
  <c r="D44" i="5"/>
  <c r="D43" i="5"/>
  <c r="N42" i="5"/>
  <c r="M34" i="5"/>
  <c r="J44" i="5"/>
  <c r="J43" i="5"/>
  <c r="J58" i="5" s="1"/>
  <c r="G34" i="5"/>
  <c r="N9" i="5"/>
  <c r="N17" i="5" s="1"/>
  <c r="H44" i="5"/>
  <c r="H43" i="5"/>
  <c r="H58" i="5" s="1"/>
  <c r="I28" i="5"/>
  <c r="I139" i="5"/>
  <c r="I140" i="5" s="1"/>
  <c r="I153" i="5"/>
  <c r="I82" i="5"/>
  <c r="L28" i="5"/>
  <c r="L139" i="5"/>
  <c r="L140" i="5" s="1"/>
  <c r="L153" i="5"/>
  <c r="L82" i="5"/>
  <c r="F44" i="5"/>
  <c r="F43" i="5"/>
  <c r="N45" i="5"/>
  <c r="N47" i="5"/>
  <c r="N49" i="5"/>
  <c r="K34" i="5"/>
  <c r="J34" i="5"/>
  <c r="M18" i="5"/>
  <c r="M139" i="5"/>
  <c r="M140" i="5" s="1"/>
  <c r="M153" i="5"/>
  <c r="M28" i="5"/>
  <c r="M82" i="5"/>
  <c r="L43" i="5"/>
  <c r="L44" i="5"/>
  <c r="K153" i="5"/>
  <c r="K139" i="5"/>
  <c r="K140" i="5" s="1"/>
  <c r="K28" i="5"/>
  <c r="K82" i="5"/>
  <c r="N137" i="1"/>
  <c r="N138" i="1" s="1"/>
  <c r="H153" i="5"/>
  <c r="H28" i="5"/>
  <c r="H82" i="5"/>
  <c r="H139" i="5"/>
  <c r="H140" i="5" s="1"/>
  <c r="D32" i="5"/>
  <c r="N32" i="5" s="1"/>
  <c r="D31" i="5"/>
  <c r="D7" i="5"/>
  <c r="D113" i="5"/>
  <c r="D33" i="5"/>
  <c r="F34" i="5"/>
  <c r="I34" i="5"/>
  <c r="L18" i="5"/>
  <c r="L34" i="5"/>
  <c r="E43" i="5"/>
  <c r="E44" i="5"/>
  <c r="G43" i="5"/>
  <c r="G44" i="5"/>
  <c r="K18" i="5"/>
  <c r="J28" i="5"/>
  <c r="J153" i="5"/>
  <c r="J139" i="5"/>
  <c r="J140" i="5" s="1"/>
  <c r="J82" i="5"/>
  <c r="D28" i="1"/>
  <c r="M34" i="1"/>
  <c r="J34" i="1"/>
  <c r="J35" i="1" s="1"/>
  <c r="I34" i="1"/>
  <c r="I35" i="1" s="1"/>
  <c r="F34" i="1"/>
  <c r="F35" i="1" s="1"/>
  <c r="L34" i="1"/>
  <c r="L35" i="1" s="1"/>
  <c r="D35" i="1"/>
  <c r="K34" i="1"/>
  <c r="K35" i="1" s="1"/>
  <c r="H34" i="1"/>
  <c r="H35" i="1" s="1"/>
  <c r="G34" i="1"/>
  <c r="G35" i="1" s="1"/>
  <c r="B152" i="1"/>
  <c r="B59" i="1"/>
  <c r="C59" i="1"/>
  <c r="C82" i="1"/>
  <c r="C84" i="1"/>
  <c r="B82" i="1"/>
  <c r="B84" i="1"/>
  <c r="J43" i="1"/>
  <c r="J44" i="1"/>
  <c r="F44" i="1"/>
  <c r="F43" i="1"/>
  <c r="G44" i="1"/>
  <c r="G43" i="1"/>
  <c r="N45" i="1"/>
  <c r="K44" i="1"/>
  <c r="K43" i="1"/>
  <c r="D43" i="1"/>
  <c r="D44" i="1"/>
  <c r="D58" i="1" s="1"/>
  <c r="N42" i="1"/>
  <c r="I43" i="1"/>
  <c r="I44" i="1"/>
  <c r="N47" i="1"/>
  <c r="L43" i="1"/>
  <c r="L44" i="1"/>
  <c r="M43" i="1"/>
  <c r="M44" i="1"/>
  <c r="H43" i="1"/>
  <c r="H44" i="1"/>
  <c r="N48" i="1"/>
  <c r="N49" i="1"/>
  <c r="E44" i="1"/>
  <c r="E43" i="1"/>
  <c r="I152" i="1"/>
  <c r="C152" i="1"/>
  <c r="M105" i="1"/>
  <c r="M106" i="1" s="1"/>
  <c r="G152" i="1"/>
  <c r="J152" i="1"/>
  <c r="L152" i="1"/>
  <c r="K152" i="1"/>
  <c r="F152" i="1"/>
  <c r="D152" i="1"/>
  <c r="J18" i="1"/>
  <c r="C28" i="1"/>
  <c r="C105" i="1"/>
  <c r="C106" i="1" s="1"/>
  <c r="C107" i="1" s="1"/>
  <c r="B28" i="1"/>
  <c r="B105" i="1"/>
  <c r="B106" i="1" s="1"/>
  <c r="M152" i="1"/>
  <c r="G18" i="1"/>
  <c r="G105" i="1"/>
  <c r="G106" i="1" s="1"/>
  <c r="L28" i="1"/>
  <c r="L105" i="1"/>
  <c r="L106" i="1" s="1"/>
  <c r="F105" i="1"/>
  <c r="F106" i="1" s="1"/>
  <c r="F107" i="1" s="1"/>
  <c r="I28" i="1"/>
  <c r="I105" i="1"/>
  <c r="I106" i="1" s="1"/>
  <c r="H105" i="1"/>
  <c r="H106" i="1" s="1"/>
  <c r="K18" i="1"/>
  <c r="K105" i="1"/>
  <c r="K106" i="1" s="1"/>
  <c r="K107" i="1" s="1"/>
  <c r="D105" i="1"/>
  <c r="J28" i="1"/>
  <c r="J105" i="1"/>
  <c r="J106" i="1" s="1"/>
  <c r="K28" i="1"/>
  <c r="L18" i="1"/>
  <c r="H18" i="1"/>
  <c r="D18" i="1"/>
  <c r="G28" i="1"/>
  <c r="C138" i="1"/>
  <c r="M28" i="1"/>
  <c r="M18" i="1"/>
  <c r="N27" i="1"/>
  <c r="N7" i="1" s="1"/>
  <c r="N82" i="1" s="1"/>
  <c r="M138" i="1"/>
  <c r="P137" i="1"/>
  <c r="I18" i="1"/>
  <c r="M35" i="1"/>
  <c r="B18" i="1"/>
  <c r="C18" i="1"/>
  <c r="F28" i="1"/>
  <c r="F18" i="1"/>
  <c r="L58" i="5" l="1"/>
  <c r="K58" i="5"/>
  <c r="I58" i="5"/>
  <c r="I59" i="5" s="1"/>
  <c r="M58" i="5"/>
  <c r="H28" i="1"/>
  <c r="H152" i="1"/>
  <c r="N33" i="5"/>
  <c r="F58" i="5"/>
  <c r="F59" i="5" s="1"/>
  <c r="K59" i="5"/>
  <c r="K83" i="5"/>
  <c r="K84" i="5" s="1"/>
  <c r="D83" i="1"/>
  <c r="D139" i="1" s="1"/>
  <c r="D141" i="1" s="1"/>
  <c r="L83" i="5"/>
  <c r="L84" i="5" s="1"/>
  <c r="L59" i="5"/>
  <c r="G58" i="5"/>
  <c r="G155" i="5" s="1"/>
  <c r="G156" i="5" s="1"/>
  <c r="E58" i="5"/>
  <c r="I35" i="5"/>
  <c r="M141" i="5"/>
  <c r="M155" i="5" s="1"/>
  <c r="M156" i="5" s="1"/>
  <c r="L141" i="5"/>
  <c r="L142" i="5" s="1"/>
  <c r="H59" i="5"/>
  <c r="H83" i="5"/>
  <c r="N7" i="5"/>
  <c r="N18" i="5" s="1"/>
  <c r="N113" i="5"/>
  <c r="N44" i="5"/>
  <c r="F140" i="5"/>
  <c r="F141" i="5" s="1"/>
  <c r="F142" i="5" s="1"/>
  <c r="E18" i="5"/>
  <c r="E139" i="5"/>
  <c r="E140" i="5" s="1"/>
  <c r="E28" i="5"/>
  <c r="E153" i="5"/>
  <c r="E82" i="5"/>
  <c r="F35" i="5"/>
  <c r="D82" i="5"/>
  <c r="D139" i="5"/>
  <c r="D28" i="5"/>
  <c r="D153" i="5"/>
  <c r="H141" i="5"/>
  <c r="H155" i="5" s="1"/>
  <c r="H156" i="5" s="1"/>
  <c r="M35" i="5"/>
  <c r="E34" i="5"/>
  <c r="G141" i="5"/>
  <c r="G142" i="5" s="1"/>
  <c r="K35" i="5"/>
  <c r="K114" i="5"/>
  <c r="N43" i="5"/>
  <c r="D58" i="5"/>
  <c r="J59" i="5"/>
  <c r="J83" i="5"/>
  <c r="J84" i="5" s="1"/>
  <c r="J141" i="5"/>
  <c r="J155" i="5" s="1"/>
  <c r="J156" i="5" s="1"/>
  <c r="L35" i="5"/>
  <c r="D18" i="5"/>
  <c r="D34" i="5"/>
  <c r="N31" i="5"/>
  <c r="K141" i="5"/>
  <c r="K142" i="5" s="1"/>
  <c r="N140" i="5"/>
  <c r="M59" i="5"/>
  <c r="M83" i="5"/>
  <c r="M84" i="5" s="1"/>
  <c r="J35" i="5"/>
  <c r="I141" i="5"/>
  <c r="I142" i="5" s="1"/>
  <c r="G35" i="5"/>
  <c r="E31" i="1"/>
  <c r="E138" i="1"/>
  <c r="E33" i="1"/>
  <c r="N33" i="1" s="1"/>
  <c r="E32" i="1"/>
  <c r="N32" i="1" s="1"/>
  <c r="E7" i="1"/>
  <c r="H107" i="1"/>
  <c r="H108" i="1" s="1"/>
  <c r="L107" i="1"/>
  <c r="L108" i="1" s="1"/>
  <c r="F108" i="1"/>
  <c r="J107" i="1"/>
  <c r="J108" i="1" s="1"/>
  <c r="I107" i="1"/>
  <c r="I108" i="1" s="1"/>
  <c r="B107" i="1"/>
  <c r="B108" i="1" s="1"/>
  <c r="G107" i="1"/>
  <c r="G108" i="1" s="1"/>
  <c r="M107" i="1"/>
  <c r="M108" i="1" s="1"/>
  <c r="G58" i="1"/>
  <c r="G59" i="1" s="1"/>
  <c r="J58" i="1"/>
  <c r="J83" i="1" s="1"/>
  <c r="E58" i="1"/>
  <c r="E83" i="1" s="1"/>
  <c r="K58" i="1"/>
  <c r="K83" i="1" s="1"/>
  <c r="F58" i="1"/>
  <c r="I58" i="1"/>
  <c r="I83" i="1" s="1"/>
  <c r="N43" i="1"/>
  <c r="M58" i="1"/>
  <c r="H58" i="1"/>
  <c r="L58" i="1"/>
  <c r="L154" i="1" s="1"/>
  <c r="N44" i="1"/>
  <c r="C108" i="1"/>
  <c r="C139" i="1"/>
  <c r="C141" i="1" s="1"/>
  <c r="C154" i="1" s="1"/>
  <c r="N152" i="1"/>
  <c r="N106" i="1"/>
  <c r="N107" i="1" s="1"/>
  <c r="D106" i="1"/>
  <c r="D107" i="1" s="1"/>
  <c r="D154" i="1" s="1"/>
  <c r="N18" i="1"/>
  <c r="N28" i="1"/>
  <c r="I83" i="5" l="1"/>
  <c r="J142" i="5"/>
  <c r="F83" i="5"/>
  <c r="L114" i="5"/>
  <c r="L115" i="5" s="1"/>
  <c r="N34" i="5"/>
  <c r="N35" i="5" s="1"/>
  <c r="E82" i="1"/>
  <c r="E18" i="1"/>
  <c r="E152" i="1"/>
  <c r="E28" i="1"/>
  <c r="E105" i="1"/>
  <c r="K115" i="5"/>
  <c r="K116" i="5"/>
  <c r="K117" i="5" s="1"/>
  <c r="H142" i="5"/>
  <c r="E83" i="5"/>
  <c r="E84" i="5" s="1"/>
  <c r="E59" i="5"/>
  <c r="I155" i="5"/>
  <c r="I156" i="5" s="1"/>
  <c r="E141" i="5"/>
  <c r="E155" i="5" s="1"/>
  <c r="E156" i="5" s="1"/>
  <c r="B139" i="1"/>
  <c r="B140" i="1" s="1"/>
  <c r="F155" i="5"/>
  <c r="F156" i="5" s="1"/>
  <c r="D35" i="5"/>
  <c r="D83" i="5"/>
  <c r="D84" i="5" s="1"/>
  <c r="D59" i="5"/>
  <c r="E114" i="5"/>
  <c r="E35" i="5"/>
  <c r="M114" i="5"/>
  <c r="D140" i="5"/>
  <c r="N139" i="5"/>
  <c r="M142" i="5"/>
  <c r="G59" i="5"/>
  <c r="G83" i="5"/>
  <c r="L155" i="5"/>
  <c r="L156" i="5" s="1"/>
  <c r="L116" i="5"/>
  <c r="L117" i="5" s="1"/>
  <c r="H84" i="5"/>
  <c r="H114" i="5"/>
  <c r="K155" i="5"/>
  <c r="K156" i="5" s="1"/>
  <c r="E34" i="1"/>
  <c r="E35" i="1" s="1"/>
  <c r="N31" i="1"/>
  <c r="N34" i="1" s="1"/>
  <c r="N35" i="1" s="1"/>
  <c r="J114" i="5"/>
  <c r="N141" i="5"/>
  <c r="N142" i="5" s="1"/>
  <c r="N58" i="5"/>
  <c r="N28" i="5"/>
  <c r="N153" i="5"/>
  <c r="N82" i="5"/>
  <c r="J154" i="1"/>
  <c r="F154" i="1"/>
  <c r="F155" i="1" s="1"/>
  <c r="J59" i="1"/>
  <c r="G154" i="1"/>
  <c r="G83" i="1"/>
  <c r="G139" i="1" s="1"/>
  <c r="K59" i="1"/>
  <c r="B141" i="1"/>
  <c r="E59" i="1"/>
  <c r="I154" i="1"/>
  <c r="I155" i="1" s="1"/>
  <c r="I59" i="1"/>
  <c r="C140" i="1"/>
  <c r="N58" i="1"/>
  <c r="N59" i="1" s="1"/>
  <c r="F83" i="1"/>
  <c r="F84" i="1" s="1"/>
  <c r="F59" i="1"/>
  <c r="H59" i="1"/>
  <c r="H83" i="1"/>
  <c r="K84" i="1"/>
  <c r="K139" i="1"/>
  <c r="H154" i="1"/>
  <c r="H155" i="1" s="1"/>
  <c r="I84" i="1"/>
  <c r="I139" i="1"/>
  <c r="J84" i="1"/>
  <c r="J139" i="1"/>
  <c r="D59" i="1"/>
  <c r="E84" i="1"/>
  <c r="L59" i="1"/>
  <c r="L83" i="1"/>
  <c r="M59" i="1"/>
  <c r="M83" i="1"/>
  <c r="M154" i="1"/>
  <c r="D108" i="1"/>
  <c r="D155" i="1"/>
  <c r="K108" i="1"/>
  <c r="K154" i="1"/>
  <c r="C142" i="1"/>
  <c r="L155" i="1"/>
  <c r="I84" i="5" l="1"/>
  <c r="I114" i="5"/>
  <c r="E139" i="1"/>
  <c r="N155" i="5"/>
  <c r="N156" i="5" s="1"/>
  <c r="F84" i="5"/>
  <c r="F114" i="5"/>
  <c r="M115" i="5"/>
  <c r="M116" i="5"/>
  <c r="M117" i="5" s="1"/>
  <c r="E106" i="1"/>
  <c r="E107" i="1" s="1"/>
  <c r="N105" i="1"/>
  <c r="N108" i="1" s="1"/>
  <c r="G84" i="1"/>
  <c r="B154" i="1"/>
  <c r="B155" i="1" s="1"/>
  <c r="J115" i="5"/>
  <c r="J116" i="5"/>
  <c r="J117" i="5" s="1"/>
  <c r="D141" i="5"/>
  <c r="D155" i="5" s="1"/>
  <c r="D156" i="5" s="1"/>
  <c r="E142" i="5"/>
  <c r="H115" i="5"/>
  <c r="H116" i="5"/>
  <c r="H117" i="5" s="1"/>
  <c r="N59" i="5"/>
  <c r="N83" i="5"/>
  <c r="G84" i="5"/>
  <c r="G114" i="5"/>
  <c r="E115" i="5"/>
  <c r="E116" i="5"/>
  <c r="E117" i="5" s="1"/>
  <c r="D114" i="5"/>
  <c r="B142" i="1"/>
  <c r="N83" i="1"/>
  <c r="N84" i="1" s="1"/>
  <c r="N154" i="1"/>
  <c r="F139" i="1"/>
  <c r="F140" i="1" s="1"/>
  <c r="M84" i="1"/>
  <c r="M139" i="1"/>
  <c r="D84" i="1"/>
  <c r="H84" i="1"/>
  <c r="H139" i="1"/>
  <c r="K141" i="1"/>
  <c r="K142" i="1" s="1"/>
  <c r="K140" i="1"/>
  <c r="G141" i="1"/>
  <c r="G142" i="1" s="1"/>
  <c r="G140" i="1"/>
  <c r="J141" i="1"/>
  <c r="J142" i="1" s="1"/>
  <c r="J140" i="1"/>
  <c r="L84" i="1"/>
  <c r="L139" i="1"/>
  <c r="E140" i="1"/>
  <c r="E141" i="1"/>
  <c r="E142" i="1" s="1"/>
  <c r="I140" i="1"/>
  <c r="I141" i="1"/>
  <c r="I142" i="1" s="1"/>
  <c r="G155" i="1"/>
  <c r="M155" i="1"/>
  <c r="J155" i="1"/>
  <c r="K155" i="1"/>
  <c r="M166" i="5" l="1"/>
  <c r="I115" i="5"/>
  <c r="I116" i="5"/>
  <c r="I117" i="5" s="1"/>
  <c r="D142" i="5"/>
  <c r="F115" i="5"/>
  <c r="F116" i="5"/>
  <c r="F117" i="5" s="1"/>
  <c r="D115" i="5"/>
  <c r="D116" i="5"/>
  <c r="D117" i="5" s="1"/>
  <c r="N84" i="5"/>
  <c r="N114" i="5"/>
  <c r="G115" i="5"/>
  <c r="G116" i="5"/>
  <c r="G117" i="5" s="1"/>
  <c r="E108" i="1"/>
  <c r="E154" i="1"/>
  <c r="E155" i="1" s="1"/>
  <c r="N139" i="1"/>
  <c r="N140" i="1" s="1"/>
  <c r="F141" i="1"/>
  <c r="F142" i="1" s="1"/>
  <c r="M140" i="1"/>
  <c r="M141" i="1"/>
  <c r="M142" i="1" s="1"/>
  <c r="L140" i="1"/>
  <c r="L141" i="1"/>
  <c r="L142" i="1" s="1"/>
  <c r="H140" i="1"/>
  <c r="H141" i="1"/>
  <c r="H142" i="1" s="1"/>
  <c r="D140" i="1"/>
  <c r="D142" i="1"/>
  <c r="C155" i="1"/>
  <c r="M167" i="1"/>
  <c r="N155" i="1"/>
  <c r="N116" i="5" l="1"/>
  <c r="N117" i="5" s="1"/>
  <c r="N115" i="5"/>
  <c r="N141" i="1"/>
  <c r="N142" i="1" s="1"/>
</calcChain>
</file>

<file path=xl/sharedStrings.xml><?xml version="1.0" encoding="utf-8"?>
<sst xmlns="http://schemas.openxmlformats.org/spreadsheetml/2006/main" count="746" uniqueCount="369">
  <si>
    <t>UNION TEMPORAL SERVICIOS DE ALIMENTACION Q. P.</t>
  </si>
  <si>
    <t>NIT. 900.982.827 - 1</t>
  </si>
  <si>
    <t>INGRESOS</t>
  </si>
  <si>
    <t>VENTAS</t>
  </si>
  <si>
    <t>Ventas Pacientes</t>
  </si>
  <si>
    <t>Ventas Cafetería Principal</t>
  </si>
  <si>
    <t>Ventas Cafetería Consulta externa</t>
  </si>
  <si>
    <t>Ventas Eventos</t>
  </si>
  <si>
    <t>Ventas Valeras</t>
  </si>
  <si>
    <t>Ventas Vales Residentes</t>
  </si>
  <si>
    <t>Ventas Vales Estudiantes</t>
  </si>
  <si>
    <t>Ventas refrigerios RTS</t>
  </si>
  <si>
    <t xml:space="preserve">TOTAL VENTAS </t>
  </si>
  <si>
    <t>OTROS INGRESOS</t>
  </si>
  <si>
    <t>Comisión máquina vending</t>
  </si>
  <si>
    <t>Intereses créditos</t>
  </si>
  <si>
    <t>Sobrante de caja</t>
  </si>
  <si>
    <t>TOTAL OTROS INGRESOS</t>
  </si>
  <si>
    <t>COSTOS Y GASTOS OPERACIONALES</t>
  </si>
  <si>
    <t xml:space="preserve">COSTOS  </t>
  </si>
  <si>
    <t>Alimentos</t>
  </si>
  <si>
    <t>Bebidas</t>
  </si>
  <si>
    <t>TOTAL COSTOS</t>
  </si>
  <si>
    <t>NOMINA</t>
  </si>
  <si>
    <t>NOMINA OPERATIVA</t>
  </si>
  <si>
    <t>TOTAL NOMINA OPERATIVA</t>
  </si>
  <si>
    <t>NOMINA ADMINISTRATIVA</t>
  </si>
  <si>
    <t>TOTAL NOMINA ADMINISTRATIVA</t>
  </si>
  <si>
    <t>TOTAL NOMINA</t>
  </si>
  <si>
    <t>HONORARIOS</t>
  </si>
  <si>
    <t>TOTAL HONORARIOS</t>
  </si>
  <si>
    <t>Samovares y otros</t>
  </si>
  <si>
    <t>SERVICIOS</t>
  </si>
  <si>
    <t>TOTAL SERVICIOS</t>
  </si>
  <si>
    <t>Mantenimiento equipos</t>
  </si>
  <si>
    <t>Reparaciones locativas</t>
  </si>
  <si>
    <t>TOTAL MANTENIMIENTOS</t>
  </si>
  <si>
    <t>DIVERSOS</t>
  </si>
  <si>
    <t>Papelería</t>
  </si>
  <si>
    <t>TOTAL DIVERSOS</t>
  </si>
  <si>
    <t>TOTAL OTROS COSTOS Y GASTOS OPERACIONALES</t>
  </si>
  <si>
    <t>TOTAL COSTOS Y GASTOS OPERACIONALES</t>
  </si>
  <si>
    <t>UTILIDAD OPERACIONAL</t>
  </si>
  <si>
    <t>FINANCIEROS</t>
  </si>
  <si>
    <t>Gastos Financieros</t>
  </si>
  <si>
    <t>Fondo Nacional de Garantía/ Intereses Miembros UT</t>
  </si>
  <si>
    <t>Comision bancarias</t>
  </si>
  <si>
    <t>4/1000</t>
  </si>
  <si>
    <t>Ajuste al peso, Impuestos asumidos multas</t>
  </si>
  <si>
    <t>TOTAL FINANCIEROS</t>
  </si>
  <si>
    <t>SEGUROS</t>
  </si>
  <si>
    <t>TOTAL SEGUROS</t>
  </si>
  <si>
    <t>Depreciaciòn</t>
  </si>
  <si>
    <t>TOTAL DEPRECIACIONES</t>
  </si>
  <si>
    <t>IMPUESTOS</t>
  </si>
  <si>
    <t>Industria y Comercio</t>
  </si>
  <si>
    <t>TOTAL IMPUESTOS</t>
  </si>
  <si>
    <t>UTILIDAD / PERDIDA DEL EJERCICIO</t>
  </si>
  <si>
    <t>ENE</t>
  </si>
  <si>
    <t>FEB</t>
  </si>
  <si>
    <t>MAR</t>
  </si>
  <si>
    <t>ABR</t>
  </si>
  <si>
    <t>MAY</t>
  </si>
  <si>
    <t>JUN</t>
  </si>
  <si>
    <t>JUL</t>
  </si>
  <si>
    <t>AGT</t>
  </si>
  <si>
    <t>SEP</t>
  </si>
  <si>
    <t>OCT</t>
  </si>
  <si>
    <t>NOV</t>
  </si>
  <si>
    <t>DIC</t>
  </si>
  <si>
    <t>ACOMULADO</t>
  </si>
  <si>
    <t>AÑO 2021</t>
  </si>
  <si>
    <t>Sueldos</t>
  </si>
  <si>
    <t>Horas extras y recargos</t>
  </si>
  <si>
    <t>Auxilio de transporte</t>
  </si>
  <si>
    <t>Cesantías</t>
  </si>
  <si>
    <t>Intereses sobre cesantías</t>
  </si>
  <si>
    <t>Prima de servicios</t>
  </si>
  <si>
    <t>Vacaciones</t>
  </si>
  <si>
    <t>Auxilios</t>
  </si>
  <si>
    <t>Aportes a administradora de riesgos laborales</t>
  </si>
  <si>
    <t>Aporte a fondos de pensión y/o cesantías</t>
  </si>
  <si>
    <t>Aportes cajas de compensación familiar</t>
  </si>
  <si>
    <t>Incapacidades</t>
  </si>
  <si>
    <t>Dotaciones</t>
  </si>
  <si>
    <t>Descuento almuerzo</t>
  </si>
  <si>
    <t>examenes</t>
  </si>
  <si>
    <t>Subvenciones ( Ingresos PAEF)</t>
  </si>
  <si>
    <t>Outsourcing contable</t>
  </si>
  <si>
    <t>Máquina Café Cafetería</t>
  </si>
  <si>
    <t>GASTOS ADMINISTRATIVOS</t>
  </si>
  <si>
    <t>Otros servicios</t>
  </si>
  <si>
    <t>Utiles papeleria y fotocopias</t>
  </si>
  <si>
    <t>Taxis - buses</t>
  </si>
  <si>
    <t xml:space="preserve">DEPRECIACIONES </t>
  </si>
  <si>
    <t>Indemnizaciones</t>
  </si>
  <si>
    <t xml:space="preserve">Liquidaciones </t>
  </si>
  <si>
    <t>Otros Costos de Nomina</t>
  </si>
  <si>
    <t>COSTOS OPERATIVOS</t>
  </si>
  <si>
    <t>Cubrimientos de turnos</t>
  </si>
  <si>
    <t>Telefono</t>
  </si>
  <si>
    <t>Transportes, fletes y acarreos</t>
  </si>
  <si>
    <t>PROYECCION PRESUPUESTO VENTAS</t>
  </si>
  <si>
    <t>TABLA DE FACTURACION DEITAS 2021</t>
  </si>
  <si>
    <t xml:space="preserve">TIPO DE DIETA </t>
  </si>
  <si>
    <t>VCT</t>
  </si>
  <si>
    <t>% DE RECOBRO</t>
  </si>
  <si>
    <t xml:space="preserve">DESAYUNO </t>
  </si>
  <si>
    <t xml:space="preserve">ALMUERZO </t>
  </si>
  <si>
    <t xml:space="preserve">CENA </t>
  </si>
  <si>
    <t xml:space="preserve">NUEVES </t>
  </si>
  <si>
    <t>ONCES</t>
  </si>
  <si>
    <t xml:space="preserve">REFRIGERIO </t>
  </si>
  <si>
    <t>REFORZADO 1,2</t>
  </si>
  <si>
    <t>NORMAL</t>
  </si>
  <si>
    <t>BLANDA</t>
  </si>
  <si>
    <t>SEMIBLANDA</t>
  </si>
  <si>
    <t>HIPOSODICA</t>
  </si>
  <si>
    <t>ASTRIGENTE</t>
  </si>
  <si>
    <t>MPRO</t>
  </si>
  <si>
    <t>SMOOT DISFAGIA</t>
  </si>
  <si>
    <t>HIPOGRASA</t>
  </si>
  <si>
    <t>NADA CRUDO</t>
  </si>
  <si>
    <t>VEGETARIANA</t>
  </si>
  <si>
    <t>BARITARICA</t>
  </si>
  <si>
    <t>MCHO</t>
  </si>
  <si>
    <t>HIPERPROTEICA</t>
  </si>
  <si>
    <t>LIQUIDA CLARA</t>
  </si>
  <si>
    <t>LIQUIDA COMPLETA</t>
  </si>
  <si>
    <t>VALOR PROME</t>
  </si>
  <si>
    <t xml:space="preserve">1. DIETAS </t>
  </si>
  <si>
    <t>PROYECCION DE VENTAS 10% DE INCREMENTO</t>
  </si>
  <si>
    <t>SERVICIOS 20201 75%</t>
  </si>
  <si>
    <t xml:space="preserve">30 DIAS </t>
  </si>
  <si>
    <t>31 DIAS</t>
  </si>
  <si>
    <t>PROYECCION SERVICIOS: 75%</t>
  </si>
  <si>
    <t>MARZO (31)</t>
  </si>
  <si>
    <t>VALOR VENTA</t>
  </si>
  <si>
    <t>ABRIL (30)</t>
  </si>
  <si>
    <t>MAYO (31)</t>
  </si>
  <si>
    <t>JUNIO (30)</t>
  </si>
  <si>
    <t>JULIO (31)</t>
  </si>
  <si>
    <t>AGOSTO (31)</t>
  </si>
  <si>
    <t>SEPTIMEBRE (30)</t>
  </si>
  <si>
    <t>OCTUBRE (31)</t>
  </si>
  <si>
    <t>NOVIEMBRE (30)</t>
  </si>
  <si>
    <t>DICIEMBRE (31)</t>
  </si>
  <si>
    <t>DESAYUNO</t>
  </si>
  <si>
    <t>NUEVES</t>
  </si>
  <si>
    <t>ALMUERZO</t>
  </si>
  <si>
    <t>CENA</t>
  </si>
  <si>
    <t>REFRIGERIO</t>
  </si>
  <si>
    <t>REFRIGERIO REFORZADO</t>
  </si>
  <si>
    <t xml:space="preserve">TOTAL </t>
  </si>
  <si>
    <t xml:space="preserve">2. CAFETERIA </t>
  </si>
  <si>
    <t>30 DIAS</t>
  </si>
  <si>
    <t>PROYECCION DE VENTA 10%</t>
  </si>
  <si>
    <t>SEPTIEMBRE (30)</t>
  </si>
  <si>
    <t>VENTA PROMEDIO</t>
  </si>
  <si>
    <t>Semana santa</t>
  </si>
  <si>
    <t>Vacaciones y festivos</t>
  </si>
  <si>
    <t>Semana de receso</t>
  </si>
  <si>
    <t>Festividades</t>
  </si>
  <si>
    <t>3. VALES RESIDENTE E INTERNOS</t>
  </si>
  <si>
    <t>Sin proyeccion de venta solo promedio de entrega</t>
  </si>
  <si>
    <t>RESIDENTES</t>
  </si>
  <si>
    <t>Para los meses de 30 dias quito 100 vales que es el promedio de venta diarias</t>
  </si>
  <si>
    <t>INTERNOS</t>
  </si>
  <si>
    <t>RTS</t>
  </si>
  <si>
    <t xml:space="preserve">4. EVENTOS </t>
  </si>
  <si>
    <t xml:space="preserve">NO HAY PROGRAMACION </t>
  </si>
  <si>
    <t>INCREMENTO SALARIAL 2021</t>
  </si>
  <si>
    <t xml:space="preserve">SALARIO MINIMO </t>
  </si>
  <si>
    <t>SALARIO $900.000</t>
  </si>
  <si>
    <t>BASE SALARIAL #</t>
  </si>
  <si>
    <t xml:space="preserve">AREA OPERATIVA </t>
  </si>
  <si>
    <t xml:space="preserve">CARGO </t>
  </si>
  <si>
    <t>1. ADMINISTRATIVO: 6 PERSONAS</t>
  </si>
  <si>
    <t>BASE SALARIAL 2020</t>
  </si>
  <si>
    <t>%INCREMENTO</t>
  </si>
  <si>
    <t>VALOR DEL INCREMENTO</t>
  </si>
  <si>
    <t>BASE SALARIAL 2021</t>
  </si>
  <si>
    <t>OBSERVACIONES</t>
  </si>
  <si>
    <t>JEFE DE NUTRICION Y ADMINISTRADORA ENCARGADA</t>
  </si>
  <si>
    <t>ANTIGUO &gt;1AÑO</t>
  </si>
  <si>
    <t>LIDER DE CALIDAD</t>
  </si>
  <si>
    <t>NUTRICIONISTA SUPERVISORA AM</t>
  </si>
  <si>
    <t>INICIARON CONTRATO NUEVO NO TIENE INCREMENTO</t>
  </si>
  <si>
    <t>NUTRICIONISTA SUPERVISORA PM</t>
  </si>
  <si>
    <t>AUXILIAR DE NUTRICION</t>
  </si>
  <si>
    <t>YA SE APLICO EL INCREMENTO PARA EL AÑO 2021</t>
  </si>
  <si>
    <t>AUXILIAR DE ACTIVOS Y MENAJE</t>
  </si>
  <si>
    <t>2. PRODUCCION: 6 PERSONAS</t>
  </si>
  <si>
    <t>CHEF</t>
  </si>
  <si>
    <t>CONSIDERACION LLEVA &lt;1AÑO</t>
  </si>
  <si>
    <t>COCINERO SOPAS Y FARINACEO</t>
  </si>
  <si>
    <t>COCINERO VERDURAS</t>
  </si>
  <si>
    <t>COCINERO COCINA FRIA</t>
  </si>
  <si>
    <t xml:space="preserve">COCINERO PM </t>
  </si>
  <si>
    <t>SUPERNUMERARIO</t>
  </si>
  <si>
    <t>3. ALMACEN Y SERVICIOS GENERALES</t>
  </si>
  <si>
    <t xml:space="preserve">ALMACENISTA AM </t>
  </si>
  <si>
    <t>ALMACENISTA PM</t>
  </si>
  <si>
    <t xml:space="preserve">SERVICIOS GENERALES AM </t>
  </si>
  <si>
    <t>SERVICIOS GENERALES PM</t>
  </si>
  <si>
    <t>SERVICIOS GENERALES CAFETERIA</t>
  </si>
  <si>
    <t>NO ESTA CONTRATADO SOLO CUANDO TENIAMOS VENTAS&gt;70MM</t>
  </si>
  <si>
    <t>4. AUXILIARES DE DIETAS: 12 PERSONAS</t>
  </si>
  <si>
    <t xml:space="preserve">AUXILIAR DIETA 1 TURNO AM </t>
  </si>
  <si>
    <t xml:space="preserve">UNA INCAPACIDAD PARA PENSION 158 DIAS </t>
  </si>
  <si>
    <t xml:space="preserve">AUXILIAR DIETA 2 TURNO AM </t>
  </si>
  <si>
    <t xml:space="preserve">AUXILIAR DIETA 3 TURNO AM </t>
  </si>
  <si>
    <t xml:space="preserve">AUXILIAR DIETA 4 TURNO AM </t>
  </si>
  <si>
    <t>SUPERNUMERARIA 1</t>
  </si>
  <si>
    <t>NO CONTRATADA X BAJOS SERVICIOS</t>
  </si>
  <si>
    <t>AUXILIAR DIETA 1 TURNO PM</t>
  </si>
  <si>
    <t xml:space="preserve">SUPERNUMERARIA </t>
  </si>
  <si>
    <t xml:space="preserve">NO CONTRATADA X BAJOS SERVICIOS </t>
  </si>
  <si>
    <t>HOTELERA 1</t>
  </si>
  <si>
    <t>POR PANDEMINA SE PASO A REEMPLAZO DE LA AUXILIAR NO CONTRATADA</t>
  </si>
  <si>
    <t>HOTELERA 2</t>
  </si>
  <si>
    <t>5. CAFETERIA: 9 PERSONAS</t>
  </si>
  <si>
    <t xml:space="preserve">LIDER DE CAFETERIA </t>
  </si>
  <si>
    <t>CAJERA AM CAFETERIA PRINCIPAL</t>
  </si>
  <si>
    <t>CAJERA PM CAFETERIA PRINCIPAL</t>
  </si>
  <si>
    <t>NO CONTRATADA X BAJOS SERVICIOS ES REEMPLAZADA X LIDER</t>
  </si>
  <si>
    <t>CAJERA 24 HORAS CAFETERIA PRINCIPAL</t>
  </si>
  <si>
    <t xml:space="preserve">CAJERA CONSULTA EXTERNA </t>
  </si>
  <si>
    <r>
      <t xml:space="preserve">OPCION DE CONTRATACION PARA CUBRIR DESCANSOS Y EVITAR PAGAR HORAS EXTRAS DE CAJERAS PARA CUBIRIR ATENCION LOS FINES DE SEMANA Y RECRAGOS NOCTURNOS Y FESTIVOS. </t>
    </r>
    <r>
      <rPr>
        <b/>
        <sz val="9"/>
        <color indexed="8"/>
        <rFont val="Calibri "/>
      </rPr>
      <t>CON VENTAS &gt; 70MM NO SE CONTRATARIA</t>
    </r>
  </si>
  <si>
    <t>AUXILIAR DE CAFETERIA AM CAFETERIA PRINCIPAL</t>
  </si>
  <si>
    <t>AUXILIAR DE CAFETERIA INTERMEDIA CAFETERIA PRINCIPAL</t>
  </si>
  <si>
    <t>AUXILIAR DE CAFETERIA PM CAFETERIA PRINCIPAL</t>
  </si>
  <si>
    <t xml:space="preserve">AUXILIAR DE CAFETERIA CONSULTA EXTERNA </t>
  </si>
  <si>
    <t>PERSONAL ADMINISTRATIVO GENERAL: 3 PERSONAS</t>
  </si>
  <si>
    <t>GERENTE OPERATIVA</t>
  </si>
  <si>
    <t>ASISTENTE ADMINISTRATIVO</t>
  </si>
  <si>
    <t xml:space="preserve">AUXILIAR ADMINISTRATIVO CONTABLE </t>
  </si>
  <si>
    <t>RECONSIDERACION DE MEJORAMIENTO DE JULIAN ACTUAL SMLV</t>
  </si>
  <si>
    <t>VTS PROMEDIO MES GENERAL</t>
  </si>
  <si>
    <t>NOMINA 100%</t>
  </si>
  <si>
    <t>PERONAL</t>
  </si>
  <si>
    <t>VR DSTO</t>
  </si>
  <si>
    <t>TOTAL</t>
  </si>
  <si>
    <t>REAL</t>
  </si>
  <si>
    <t>Otros (Menajes-dotaciones)</t>
  </si>
  <si>
    <t>SOBRANTES CACA</t>
  </si>
  <si>
    <t>PROMEDIO</t>
  </si>
  <si>
    <t>EXAMENES</t>
  </si>
  <si>
    <t>PAEF</t>
  </si>
  <si>
    <t>INCAPACIDADES</t>
  </si>
  <si>
    <t>MENAJES</t>
  </si>
  <si>
    <t>COSTOS VENTAS</t>
  </si>
  <si>
    <t>AUXILIO DE TRANSPORTE</t>
  </si>
  <si>
    <t>ADMON</t>
  </si>
  <si>
    <t>admon</t>
  </si>
  <si>
    <t>produc</t>
  </si>
  <si>
    <t>H. EXTRAS</t>
  </si>
  <si>
    <t>LIQUIDACIONES</t>
  </si>
  <si>
    <t>TOTAL GASTOS ADMON</t>
  </si>
  <si>
    <t>ARRENDAMIENTOS</t>
  </si>
  <si>
    <t>TOTAL ARRENDAMIENTOS</t>
  </si>
  <si>
    <t>TURNOS</t>
  </si>
  <si>
    <t>TELEFONIA</t>
  </si>
  <si>
    <t>Lavanderia</t>
  </si>
  <si>
    <t>Servicio cambio sencillo</t>
  </si>
  <si>
    <t>transportes fletes</t>
  </si>
  <si>
    <t>MANTENIMIENTOS</t>
  </si>
  <si>
    <t>Control de plagas</t>
  </si>
  <si>
    <t>Otros microbiologicos</t>
  </si>
  <si>
    <t>M/cias no fabricadas x la empresa</t>
  </si>
  <si>
    <t xml:space="preserve">         Gtos Medicos y drogas</t>
  </si>
  <si>
    <t xml:space="preserve">         Examenes trimestrales</t>
  </si>
  <si>
    <t>Examenes trimestrales</t>
  </si>
  <si>
    <t>Periodicos</t>
  </si>
  <si>
    <t>Examenes ingresos</t>
  </si>
  <si>
    <t xml:space="preserve">         Examenes Ocupacionales</t>
  </si>
  <si>
    <t>Honorarios - Asesoría  SSGT</t>
  </si>
  <si>
    <t>Otros Honorarios Juridicos</t>
  </si>
  <si>
    <t>Diversos(aseo)</t>
  </si>
  <si>
    <t xml:space="preserve">Póliza de Seguro </t>
  </si>
  <si>
    <t>Servicios Nutricionista</t>
  </si>
  <si>
    <t>Repocision Menaje y Otros activos de menor cuantia</t>
  </si>
  <si>
    <t>GASTOS FINANCIEROS</t>
  </si>
  <si>
    <t>TIPO DIETA</t>
  </si>
  <si>
    <t>TIPO COMIDA</t>
  </si>
  <si>
    <t>VALOR</t>
  </si>
  <si>
    <t>MODIFICADO EN CARBOHIDRATOS</t>
  </si>
  <si>
    <t xml:space="preserve">AGUA CRISTAL </t>
  </si>
  <si>
    <t>NATUMALTA</t>
  </si>
  <si>
    <t>JUGO FRUTTO</t>
  </si>
  <si>
    <t>AVENA ALPINA</t>
  </si>
  <si>
    <t>EMPANADA POLLO</t>
  </si>
  <si>
    <t>AVENA FINESSE</t>
  </si>
  <si>
    <t>AREPA DE QUESO</t>
  </si>
  <si>
    <t>PASTEL DE POLLO</t>
  </si>
  <si>
    <t>GATORADE</t>
  </si>
  <si>
    <t>BONYURTH</t>
  </si>
  <si>
    <t>CAPUCHINO</t>
  </si>
  <si>
    <t>MANIMOTO</t>
  </si>
  <si>
    <t>GALLETAS CLUB SOCIAL</t>
  </si>
  <si>
    <t>CHICLE TRIDENT</t>
  </si>
  <si>
    <t>GALLETAS CHOKIES</t>
  </si>
  <si>
    <t>TOSTACOS</t>
  </si>
  <si>
    <t>MANI</t>
  </si>
  <si>
    <t>ALFAJOR</t>
  </si>
  <si>
    <t>CHEETOS</t>
  </si>
  <si>
    <t>BROWNIE</t>
  </si>
  <si>
    <t>CHOCORRAMO</t>
  </si>
  <si>
    <t>EMPANADA DE CARNE</t>
  </si>
  <si>
    <t>TINTO 7 ONZAS</t>
  </si>
  <si>
    <t>PAPAS MARGARITA</t>
  </si>
  <si>
    <t>ITEM</t>
  </si>
  <si>
    <t xml:space="preserve">ALMUERZO Y CENA </t>
  </si>
  <si>
    <t>Se toman como oferta los productos mas representaivos de venta y tambien se consiguen en los negocios externos de la zona</t>
  </si>
  <si>
    <t>Desayuno Evento</t>
  </si>
  <si>
    <t>Jugo de fruta+ Porción de fruta+ bebida Caliente+ Alimento proteico (huevo o queso) + pan</t>
  </si>
  <si>
    <t>Refrigerio Evento Sencillo</t>
  </si>
  <si>
    <t>Jugo de fruta o Bebida Caliente+ Sándwiches de jamón y queso o pastel de pollo o carne o wrap de jamón y queso.</t>
  </si>
  <si>
    <t>Refrigerio Evento Gourmet</t>
  </si>
  <si>
    <t>Se ofrecen menú de refrigerios con mayor elaboración y productos que no están disponibles en cafetería, para este se envía una propuesta de 3 menús a escoger de su preferencia.</t>
  </si>
  <si>
    <t>Almuerzo evento sencillo</t>
  </si>
  <si>
    <t>Se ofrece el almuerzo del día para consumir en las instalaciones de cafetería: Sopa del día+ Bandeja del día(proteína+arroz+harina+verdura o ensalada)+ fruta del día+ jugo del día+ postre del día.</t>
  </si>
  <si>
    <t>Almuerzo evento Gourmet</t>
  </si>
  <si>
    <t>Se ofrece menú diferente con alimentos o preparaciones más elaborados y que no están disponibles en la cafetería, se enviara una opción de 3 menús a escoger según su preferencia y consta de: Entrada+ plato fuerte (proteína+guarnicaión+ verduras) + Jugo de fruta y postre.</t>
  </si>
  <si>
    <t>Estación de Café Sencilla</t>
  </si>
  <si>
    <t>Café, aromática, te, con crema para café y azúcar</t>
  </si>
  <si>
    <t>Estación de café con Galletas</t>
  </si>
  <si>
    <t>Café, aromática, te, con crema para café y azúcar y galletas tipo colación surtidas</t>
  </si>
  <si>
    <t xml:space="preserve">OSCAR ALONSO DUEÑAS ARAQUE                   </t>
  </si>
  <si>
    <t>DIRECTOR GENERAL</t>
  </si>
  <si>
    <t xml:space="preserve">CORPORACIÓN SALUD UN                                   </t>
  </si>
  <si>
    <t>Elaboró: Laura Milena Aldana- Profesional de la Dirección Jurídica</t>
  </si>
  <si>
    <t xml:space="preserve">Revisó: Nina Velosa – Coordinadora de Nutrición  </t>
  </si>
  <si>
    <t xml:space="preserve">             Andrés Vargas- Director Jurídico </t>
  </si>
  <si>
    <t xml:space="preserve">Aprobó: Rocío Gomez- Directora Administrativa </t>
  </si>
  <si>
    <t>CANTIDAD APROX ANUAL</t>
  </si>
  <si>
    <t xml:space="preserve">HOSPITAL UNIVERSITARIO NACIONAL </t>
  </si>
  <si>
    <t>DIRECCION JURIDICA - COMPRAS Y CONTRATACIÓN</t>
  </si>
  <si>
    <t>INVITACIÓN ABIERTA 2025</t>
  </si>
  <si>
    <t xml:space="preserve">ANEXO OFERTA ECONÓMICA </t>
  </si>
  <si>
    <t xml:space="preserve">NOMBRE PROVEEDOR: </t>
  </si>
  <si>
    <t xml:space="preserve">NIT : </t>
  </si>
  <si>
    <t>NOMBRE DE CONTACTO:</t>
  </si>
  <si>
    <t>CORREO DE CONTACTO:</t>
  </si>
  <si>
    <t>NUMERO TELEFONICO DE CONTACTO:</t>
  </si>
  <si>
    <t>No.</t>
  </si>
  <si>
    <t>LIQUIDA TOTAL</t>
  </si>
  <si>
    <t>RENAL</t>
  </si>
  <si>
    <t>DISFAGIA</t>
  </si>
  <si>
    <t>VALOR TOTAL ANUAL</t>
  </si>
  <si>
    <t>PAQUETE DIETARIO</t>
  </si>
  <si>
    <t>% PARTICIPACIÓN DIETAS</t>
  </si>
  <si>
    <t>REFRIGERIOS DIETAS</t>
  </si>
  <si>
    <t>REFRIGERIO NOCTURNO</t>
  </si>
  <si>
    <t>RESIDENTES E INTERNOS</t>
  </si>
  <si>
    <t>CANTIDAD ESTIMADO ANUAL</t>
  </si>
  <si>
    <t>VALOR TOTAL ESTIMADO ANUAL</t>
  </si>
  <si>
    <t>SERVICIO DE ALIMENTACIÓN - EVENTOS</t>
  </si>
  <si>
    <t>SERVICIO DE ALIMENTACIÓN</t>
  </si>
  <si>
    <t>COTIZACION PRECIOS DE VENTA PUBLICO EN COMPARACION CON LA ZONA DEL MERCADO</t>
  </si>
  <si>
    <t xml:space="preserve">DESAYUNO PERSONAL HUN </t>
  </si>
  <si>
    <t xml:space="preserve">ALMUERZO PERSONAL HUN </t>
  </si>
  <si>
    <t xml:space="preserve">CENA PERSONAL HUN </t>
  </si>
  <si>
    <t xml:space="preserve">DESAYUNO PERSONAL HUN VALERA </t>
  </si>
  <si>
    <t xml:space="preserve">ALMUERZO PERSONAL HUN VALERA </t>
  </si>
  <si>
    <t xml:space="preserve">CENA PERSONAL HUN VALERA </t>
  </si>
  <si>
    <t>VALOR UNITARIO (IMPUESTO INCLUIDO)</t>
  </si>
  <si>
    <t>TIPO DE EVENTO</t>
  </si>
  <si>
    <t>COMPONENTES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</si>
</sst>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64" formatCode="&quot;$&quot;\ #,##0;[Red]\-&quot;$&quot;\ #,##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_-&quot;$&quot;* #,##0_-;\-&quot;$&quot;* #,##0_-;_-&quot;$&quot;* &quot;-&quot;_-;_-@_-"/>
    <numFmt numFmtId="168" formatCode="_-* #,##0\ _€_-;\-* #,##0\ _€_-;_-* &quot;-&quot;??\ _€_-;_-@_-"/>
    <numFmt numFmtId="169" formatCode="_-* #,##0.00\ _€_-;\-* #,##0.00\ _€_-;_-* &quot;-&quot;??\ _€_-;_-@_-"/>
    <numFmt numFmtId="170" formatCode="0.0%"/>
    <numFmt numFmtId="171" formatCode="#,##0_ ;\-#,##0\ "/>
    <numFmt numFmtId="172" formatCode="&quot;$&quot;\ #,##0"/>
    <numFmt numFmtId="173" formatCode="#,##0.00&quot;    &quot;;\-#,##0.00&quot;    &quot;;&quot; -&quot;#&quot;    &quot;;@\ "/>
    <numFmt numFmtId="174" formatCode="_-&quot;$&quot;\ * #,##0_-;\-&quot;$&quot;\ * #,##0_-;_-&quot;$&quot;\ * &quot;-&quot;??_-;_-@_-"/>
    <numFmt numFmtId="175" formatCode="&quot;$&quot;\ #,##0.00"/>
    <numFmt numFmtId="176" formatCode="[$$-240A]\ #,##0.00"/>
    <numFmt numFmtId="177" formatCode="[$$-240A]\ #,##0.00;\-[$$-240A]\ 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Calibri "/>
    </font>
    <font>
      <sz val="10"/>
      <name val="Calibri "/>
    </font>
    <font>
      <sz val="9"/>
      <color indexed="8"/>
      <name val="Calibri "/>
    </font>
    <font>
      <sz val="8"/>
      <color theme="1"/>
      <name val="Calibri"/>
      <family val="2"/>
      <scheme val="minor"/>
    </font>
    <font>
      <sz val="9"/>
      <name val="Calibri "/>
    </font>
    <font>
      <b/>
      <sz val="9"/>
      <color indexed="8"/>
      <name val="Calibri "/>
    </font>
    <font>
      <b/>
      <sz val="9"/>
      <name val="Calibri "/>
    </font>
    <font>
      <sz val="10"/>
      <color theme="1"/>
      <name val="Calibri "/>
    </font>
    <font>
      <sz val="9"/>
      <color theme="1"/>
      <name val="Calibri "/>
    </font>
    <font>
      <b/>
      <sz val="10"/>
      <color theme="1"/>
      <name val="Calibri "/>
    </font>
    <font>
      <b/>
      <sz val="10"/>
      <color indexed="8"/>
      <name val="Calibri 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9" fontId="6" fillId="0" borderId="0" applyFill="0" applyBorder="0" applyAlignment="0" applyProtection="0"/>
    <xf numFmtId="0" fontId="21" fillId="0" borderId="0"/>
    <xf numFmtId="173" fontId="17" fillId="0" borderId="0"/>
    <xf numFmtId="166" fontId="1" fillId="0" borderId="0" applyFont="0" applyFill="0" applyBorder="0" applyAlignment="0" applyProtection="0"/>
    <xf numFmtId="0" fontId="37" fillId="0" borderId="0"/>
    <xf numFmtId="0" fontId="6" fillId="0" borderId="0"/>
    <xf numFmtId="0" fontId="6" fillId="0" borderId="0"/>
    <xf numFmtId="0" fontId="1" fillId="0" borderId="0"/>
  </cellStyleXfs>
  <cellXfs count="2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8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7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168" fontId="2" fillId="3" borderId="2" xfId="1" applyNumberFormat="1" applyFont="1" applyFill="1" applyBorder="1"/>
    <xf numFmtId="168" fontId="2" fillId="3" borderId="2" xfId="4" applyNumberFormat="1" applyFont="1" applyFill="1" applyBorder="1"/>
    <xf numFmtId="0" fontId="2" fillId="5" borderId="2" xfId="0" applyFont="1" applyFill="1" applyBorder="1"/>
    <xf numFmtId="168" fontId="2" fillId="2" borderId="3" xfId="1" applyNumberFormat="1" applyFont="1" applyFill="1" applyBorder="1"/>
    <xf numFmtId="168" fontId="2" fillId="2" borderId="3" xfId="4" applyNumberFormat="1" applyFont="1" applyFill="1" applyBorder="1"/>
    <xf numFmtId="0" fontId="3" fillId="2" borderId="4" xfId="0" applyFont="1" applyFill="1" applyBorder="1"/>
    <xf numFmtId="168" fontId="3" fillId="2" borderId="4" xfId="1" applyNumberFormat="1" applyFont="1" applyFill="1" applyBorder="1"/>
    <xf numFmtId="168" fontId="3" fillId="2" borderId="4" xfId="4" applyNumberFormat="1" applyFont="1" applyFill="1" applyBorder="1"/>
    <xf numFmtId="168" fontId="4" fillId="0" borderId="5" xfId="0" applyNumberFormat="1" applyFont="1" applyBorder="1"/>
    <xf numFmtId="168" fontId="3" fillId="2" borderId="0" xfId="0" applyNumberFormat="1" applyFont="1" applyFill="1"/>
    <xf numFmtId="168" fontId="2" fillId="5" borderId="2" xfId="1" applyNumberFormat="1" applyFont="1" applyFill="1" applyBorder="1"/>
    <xf numFmtId="168" fontId="2" fillId="5" borderId="2" xfId="4" applyNumberFormat="1" applyFont="1" applyFill="1" applyBorder="1"/>
    <xf numFmtId="0" fontId="2" fillId="2" borderId="2" xfId="0" applyFont="1" applyFill="1" applyBorder="1"/>
    <xf numFmtId="9" fontId="5" fillId="2" borderId="0" xfId="3" applyFont="1" applyFill="1" applyAlignment="1">
      <alignment horizontal="center"/>
    </xf>
    <xf numFmtId="168" fontId="2" fillId="2" borderId="0" xfId="1" applyNumberFormat="1" applyFont="1" applyFill="1"/>
    <xf numFmtId="168" fontId="2" fillId="2" borderId="0" xfId="4" applyNumberFormat="1" applyFont="1" applyFill="1"/>
    <xf numFmtId="168" fontId="2" fillId="2" borderId="6" xfId="1" applyNumberFormat="1" applyFont="1" applyFill="1" applyBorder="1"/>
    <xf numFmtId="168" fontId="2" fillId="2" borderId="6" xfId="4" applyNumberFormat="1" applyFont="1" applyFill="1" applyBorder="1"/>
    <xf numFmtId="0" fontId="3" fillId="2" borderId="7" xfId="0" applyFont="1" applyFill="1" applyBorder="1"/>
    <xf numFmtId="168" fontId="3" fillId="2" borderId="8" xfId="1" applyNumberFormat="1" applyFont="1" applyFill="1" applyBorder="1"/>
    <xf numFmtId="168" fontId="3" fillId="2" borderId="7" xfId="1" applyNumberFormat="1" applyFont="1" applyFill="1" applyBorder="1"/>
    <xf numFmtId="170" fontId="5" fillId="2" borderId="0" xfId="3" applyNumberFormat="1" applyFont="1" applyFill="1" applyAlignment="1">
      <alignment horizontal="center"/>
    </xf>
    <xf numFmtId="170" fontId="2" fillId="2" borderId="0" xfId="3" applyNumberFormat="1" applyFont="1" applyFill="1"/>
    <xf numFmtId="41" fontId="2" fillId="2" borderId="0" xfId="2" applyFont="1" applyFill="1"/>
    <xf numFmtId="170" fontId="2" fillId="2" borderId="6" xfId="3" applyNumberFormat="1" applyFont="1" applyFill="1" applyBorder="1"/>
    <xf numFmtId="9" fontId="2" fillId="2" borderId="6" xfId="3" applyFont="1" applyFill="1" applyBorder="1"/>
    <xf numFmtId="9" fontId="2" fillId="2" borderId="0" xfId="3" applyFont="1" applyFill="1"/>
    <xf numFmtId="168" fontId="2" fillId="2" borderId="6" xfId="3" applyNumberFormat="1" applyFont="1" applyFill="1" applyBorder="1"/>
    <xf numFmtId="0" fontId="6" fillId="2" borderId="7" xfId="0" applyFont="1" applyFill="1" applyBorder="1"/>
    <xf numFmtId="0" fontId="7" fillId="2" borderId="2" xfId="0" applyFont="1" applyFill="1" applyBorder="1"/>
    <xf numFmtId="9" fontId="8" fillId="2" borderId="0" xfId="3" applyFont="1" applyFill="1" applyAlignment="1">
      <alignment horizontal="center"/>
    </xf>
    <xf numFmtId="0" fontId="7" fillId="2" borderId="0" xfId="0" applyFont="1" applyFill="1"/>
    <xf numFmtId="171" fontId="2" fillId="4" borderId="2" xfId="1" applyNumberFormat="1" applyFont="1" applyFill="1" applyBorder="1"/>
    <xf numFmtId="171" fontId="2" fillId="4" borderId="2" xfId="4" applyNumberFormat="1" applyFont="1" applyFill="1" applyBorder="1"/>
    <xf numFmtId="0" fontId="9" fillId="2" borderId="0" xfId="0" applyFont="1" applyFill="1"/>
    <xf numFmtId="0" fontId="3" fillId="2" borderId="9" xfId="0" applyFont="1" applyFill="1" applyBorder="1"/>
    <xf numFmtId="168" fontId="3" fillId="2" borderId="9" xfId="1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168" fontId="9" fillId="2" borderId="0" xfId="0" applyNumberFormat="1" applyFont="1" applyFill="1"/>
    <xf numFmtId="168" fontId="3" fillId="2" borderId="0" xfId="1" applyNumberFormat="1" applyFont="1" applyFill="1"/>
    <xf numFmtId="0" fontId="2" fillId="2" borderId="4" xfId="0" applyFont="1" applyFill="1" applyBorder="1"/>
    <xf numFmtId="0" fontId="12" fillId="0" borderId="0" xfId="0" applyFont="1" applyAlignment="1">
      <alignment horizontal="left" vertical="center"/>
    </xf>
    <xf numFmtId="0" fontId="2" fillId="2" borderId="3" xfId="0" applyFont="1" applyFill="1" applyBorder="1"/>
    <xf numFmtId="0" fontId="2" fillId="6" borderId="2" xfId="0" applyFont="1" applyFill="1" applyBorder="1"/>
    <xf numFmtId="9" fontId="2" fillId="6" borderId="2" xfId="3" applyFont="1" applyFill="1" applyBorder="1"/>
    <xf numFmtId="0" fontId="13" fillId="0" borderId="0" xfId="0" applyFont="1"/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5" xfId="0" applyFont="1" applyBorder="1"/>
    <xf numFmtId="0" fontId="0" fillId="0" borderId="5" xfId="0" applyBorder="1"/>
    <xf numFmtId="167" fontId="0" fillId="0" borderId="5" xfId="5" applyFont="1" applyBorder="1"/>
    <xf numFmtId="0" fontId="15" fillId="2" borderId="5" xfId="0" applyFont="1" applyFill="1" applyBorder="1"/>
    <xf numFmtId="0" fontId="0" fillId="2" borderId="5" xfId="0" applyFill="1" applyBorder="1"/>
    <xf numFmtId="165" fontId="0" fillId="0" borderId="5" xfId="0" applyNumberFormat="1" applyBorder="1"/>
    <xf numFmtId="165" fontId="13" fillId="0" borderId="0" xfId="0" applyNumberFormat="1" applyFont="1"/>
    <xf numFmtId="0" fontId="14" fillId="0" borderId="0" xfId="0" applyFont="1" applyFill="1" applyBorder="1"/>
    <xf numFmtId="0" fontId="13" fillId="7" borderId="5" xfId="0" applyFont="1" applyFill="1" applyBorder="1"/>
    <xf numFmtId="0" fontId="13" fillId="7" borderId="5" xfId="0" applyFont="1" applyFill="1" applyBorder="1" applyAlignment="1">
      <alignment horizontal="center"/>
    </xf>
    <xf numFmtId="0" fontId="14" fillId="0" borderId="11" xfId="0" applyFont="1" applyFill="1" applyBorder="1"/>
    <xf numFmtId="0" fontId="14" fillId="8" borderId="5" xfId="0" applyFont="1" applyFill="1" applyBorder="1" applyAlignment="1">
      <alignment horizontal="center"/>
    </xf>
    <xf numFmtId="0" fontId="15" fillId="0" borderId="5" xfId="0" applyFont="1" applyFill="1" applyBorder="1"/>
    <xf numFmtId="0" fontId="14" fillId="9" borderId="11" xfId="0" applyFont="1" applyFill="1" applyBorder="1"/>
    <xf numFmtId="1" fontId="0" fillId="0" borderId="5" xfId="0" applyNumberFormat="1" applyBorder="1"/>
    <xf numFmtId="0" fontId="13" fillId="10" borderId="12" xfId="0" applyFont="1" applyFill="1" applyBorder="1"/>
    <xf numFmtId="0" fontId="13" fillId="10" borderId="0" xfId="0" applyFont="1" applyFill="1" applyBorder="1"/>
    <xf numFmtId="167" fontId="13" fillId="0" borderId="5" xfId="5" applyFont="1" applyBorder="1"/>
    <xf numFmtId="1" fontId="0" fillId="0" borderId="0" xfId="0" applyNumberFormat="1"/>
    <xf numFmtId="0" fontId="13" fillId="0" borderId="5" xfId="0" applyFont="1" applyFill="1" applyBorder="1"/>
    <xf numFmtId="0" fontId="0" fillId="0" borderId="5" xfId="0" applyBorder="1" applyAlignment="1">
      <alignment horizontal="center"/>
    </xf>
    <xf numFmtId="0" fontId="14" fillId="9" borderId="0" xfId="0" applyFont="1" applyFill="1" applyBorder="1"/>
    <xf numFmtId="0" fontId="13" fillId="9" borderId="0" xfId="0" applyFont="1" applyFill="1" applyAlignment="1">
      <alignment horizontal="center"/>
    </xf>
    <xf numFmtId="0" fontId="13" fillId="9" borderId="0" xfId="0" applyFont="1" applyFill="1" applyAlignment="1">
      <alignment wrapText="1"/>
    </xf>
    <xf numFmtId="0" fontId="13" fillId="0" borderId="0" xfId="0" applyFont="1" applyAlignment="1">
      <alignment vertical="center" wrapText="1"/>
    </xf>
    <xf numFmtId="0" fontId="14" fillId="8" borderId="5" xfId="0" applyFont="1" applyFill="1" applyBorder="1" applyAlignment="1">
      <alignment horizontal="center" vertical="center"/>
    </xf>
    <xf numFmtId="0" fontId="13" fillId="11" borderId="5" xfId="0" applyFont="1" applyFill="1" applyBorder="1"/>
    <xf numFmtId="0" fontId="0" fillId="11" borderId="0" xfId="0" applyFill="1" applyAlignment="1">
      <alignment wrapText="1"/>
    </xf>
    <xf numFmtId="0" fontId="16" fillId="0" borderId="0" xfId="0" applyFont="1"/>
    <xf numFmtId="170" fontId="16" fillId="0" borderId="0" xfId="0" applyNumberFormat="1" applyFont="1"/>
    <xf numFmtId="10" fontId="16" fillId="0" borderId="0" xfId="3" applyNumberFormat="1" applyFont="1"/>
    <xf numFmtId="0" fontId="13" fillId="0" borderId="5" xfId="0" applyFont="1" applyFill="1" applyBorder="1" applyAlignment="1">
      <alignment horizontal="center"/>
    </xf>
    <xf numFmtId="0" fontId="13" fillId="7" borderId="0" xfId="0" applyFont="1" applyFill="1"/>
    <xf numFmtId="0" fontId="18" fillId="12" borderId="5" xfId="6" applyFont="1" applyFill="1" applyBorder="1" applyAlignment="1">
      <alignment horizontal="center" vertical="center" wrapText="1"/>
    </xf>
    <xf numFmtId="170" fontId="19" fillId="12" borderId="5" xfId="7" applyNumberFormat="1" applyFont="1" applyFill="1" applyBorder="1" applyAlignment="1">
      <alignment horizontal="center" vertical="center" wrapText="1"/>
    </xf>
    <xf numFmtId="0" fontId="20" fillId="9" borderId="5" xfId="6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172" fontId="22" fillId="0" borderId="5" xfId="8" applyNumberFormat="1" applyFont="1" applyFill="1" applyBorder="1"/>
    <xf numFmtId="10" fontId="23" fillId="0" borderId="5" xfId="7" applyNumberFormat="1" applyFont="1" applyFill="1" applyBorder="1"/>
    <xf numFmtId="0" fontId="24" fillId="0" borderId="5" xfId="6" applyFont="1" applyFill="1" applyBorder="1"/>
    <xf numFmtId="0" fontId="25" fillId="0" borderId="0" xfId="0" applyFont="1"/>
    <xf numFmtId="170" fontId="23" fillId="0" borderId="5" xfId="7" applyNumberFormat="1" applyFont="1" applyFill="1" applyBorder="1"/>
    <xf numFmtId="0" fontId="0" fillId="0" borderId="0" xfId="0" applyBorder="1"/>
    <xf numFmtId="172" fontId="22" fillId="0" borderId="0" xfId="8" applyNumberFormat="1" applyFont="1" applyFill="1" applyBorder="1"/>
    <xf numFmtId="170" fontId="23" fillId="0" borderId="0" xfId="7" applyNumberFormat="1" applyFont="1" applyFill="1" applyBorder="1"/>
    <xf numFmtId="0" fontId="26" fillId="0" borderId="0" xfId="6" applyFont="1" applyFill="1" applyBorder="1"/>
    <xf numFmtId="0" fontId="13" fillId="7" borderId="0" xfId="0" applyFont="1" applyFill="1" applyBorder="1"/>
    <xf numFmtId="0" fontId="26" fillId="0" borderId="5" xfId="6" applyFont="1" applyFill="1" applyBorder="1"/>
    <xf numFmtId="0" fontId="24" fillId="0" borderId="0" xfId="6" applyFont="1" applyFill="1" applyBorder="1"/>
    <xf numFmtId="0" fontId="18" fillId="12" borderId="14" xfId="6" applyFont="1" applyFill="1" applyBorder="1" applyAlignment="1">
      <alignment horizontal="center" vertical="center" wrapText="1"/>
    </xf>
    <xf numFmtId="170" fontId="19" fillId="12" borderId="14" xfId="7" applyNumberFormat="1" applyFont="1" applyFill="1" applyBorder="1" applyAlignment="1">
      <alignment horizontal="center" vertical="center" wrapText="1"/>
    </xf>
    <xf numFmtId="0" fontId="20" fillId="9" borderId="14" xfId="6" applyFont="1" applyFill="1" applyBorder="1" applyAlignment="1">
      <alignment horizontal="center" vertical="center" wrapText="1"/>
    </xf>
    <xf numFmtId="0" fontId="0" fillId="10" borderId="5" xfId="0" applyFill="1" applyBorder="1"/>
    <xf numFmtId="172" fontId="22" fillId="10" borderId="5" xfId="8" applyNumberFormat="1" applyFont="1" applyFill="1" applyBorder="1"/>
    <xf numFmtId="170" fontId="23" fillId="10" borderId="5" xfId="7" applyNumberFormat="1" applyFont="1" applyFill="1" applyBorder="1"/>
    <xf numFmtId="0" fontId="27" fillId="10" borderId="5" xfId="6" applyFont="1" applyFill="1" applyBorder="1"/>
    <xf numFmtId="172" fontId="22" fillId="0" borderId="0" xfId="8" applyNumberFormat="1" applyFont="1" applyFill="1"/>
    <xf numFmtId="170" fontId="23" fillId="0" borderId="0" xfId="7" applyNumberFormat="1" applyFont="1" applyFill="1"/>
    <xf numFmtId="0" fontId="24" fillId="0" borderId="15" xfId="6" applyFont="1" applyFill="1" applyBorder="1"/>
    <xf numFmtId="0" fontId="0" fillId="7" borderId="0" xfId="0" applyFill="1"/>
    <xf numFmtId="172" fontId="22" fillId="7" borderId="0" xfId="8" applyNumberFormat="1" applyFont="1" applyFill="1"/>
    <xf numFmtId="170" fontId="23" fillId="7" borderId="0" xfId="7" applyNumberFormat="1" applyFont="1" applyFill="1"/>
    <xf numFmtId="0" fontId="24" fillId="7" borderId="16" xfId="6" applyFont="1" applyFill="1" applyBorder="1"/>
    <xf numFmtId="0" fontId="28" fillId="10" borderId="5" xfId="6" applyFont="1" applyFill="1" applyBorder="1"/>
    <xf numFmtId="0" fontId="24" fillId="0" borderId="17" xfId="6" applyFont="1" applyFill="1" applyBorder="1"/>
    <xf numFmtId="0" fontId="24" fillId="0" borderId="18" xfId="6" applyFont="1" applyFill="1" applyBorder="1"/>
    <xf numFmtId="0" fontId="27" fillId="10" borderId="19" xfId="6" applyFont="1" applyFill="1" applyBorder="1"/>
    <xf numFmtId="0" fontId="24" fillId="0" borderId="19" xfId="6" applyFont="1" applyFill="1" applyBorder="1" applyAlignment="1">
      <alignment wrapText="1"/>
    </xf>
    <xf numFmtId="0" fontId="27" fillId="10" borderId="19" xfId="6" applyFont="1" applyFill="1" applyBorder="1" applyAlignment="1">
      <alignment wrapText="1"/>
    </xf>
    <xf numFmtId="0" fontId="24" fillId="10" borderId="17" xfId="6" applyFont="1" applyFill="1" applyBorder="1" applyAlignment="1">
      <alignment wrapText="1"/>
    </xf>
    <xf numFmtId="0" fontId="24" fillId="0" borderId="0" xfId="6" applyFont="1" applyFill="1" applyBorder="1" applyAlignment="1">
      <alignment wrapText="1"/>
    </xf>
    <xf numFmtId="173" fontId="24" fillId="0" borderId="5" xfId="9" applyFont="1" applyFill="1" applyBorder="1"/>
    <xf numFmtId="0" fontId="29" fillId="0" borderId="0" xfId="0" applyFont="1"/>
    <xf numFmtId="0" fontId="30" fillId="0" borderId="0" xfId="0" applyFont="1"/>
    <xf numFmtId="164" fontId="29" fillId="0" borderId="0" xfId="0" applyNumberFormat="1" applyFont="1"/>
    <xf numFmtId="41" fontId="0" fillId="0" borderId="0" xfId="2" applyFont="1"/>
    <xf numFmtId="41" fontId="13" fillId="0" borderId="0" xfId="2" applyFont="1"/>
    <xf numFmtId="172" fontId="31" fillId="0" borderId="0" xfId="0" applyNumberFormat="1" applyFont="1"/>
    <xf numFmtId="41" fontId="29" fillId="0" borderId="0" xfId="2" applyFont="1"/>
    <xf numFmtId="0" fontId="0" fillId="13" borderId="5" xfId="0" applyFill="1" applyBorder="1"/>
    <xf numFmtId="172" fontId="22" fillId="13" borderId="5" xfId="8" applyNumberFormat="1" applyFont="1" applyFill="1" applyBorder="1"/>
    <xf numFmtId="170" fontId="23" fillId="13" borderId="5" xfId="7" applyNumberFormat="1" applyFont="1" applyFill="1" applyBorder="1"/>
    <xf numFmtId="0" fontId="0" fillId="13" borderId="0" xfId="0" applyFill="1"/>
    <xf numFmtId="10" fontId="23" fillId="13" borderId="5" xfId="7" applyNumberFormat="1" applyFont="1" applyFill="1" applyBorder="1"/>
    <xf numFmtId="168" fontId="2" fillId="6" borderId="2" xfId="1" applyNumberFormat="1" applyFont="1" applyFill="1" applyBorder="1"/>
    <xf numFmtId="168" fontId="2" fillId="6" borderId="2" xfId="4" applyNumberFormat="1" applyFont="1" applyFill="1" applyBorder="1"/>
    <xf numFmtId="43" fontId="3" fillId="2" borderId="4" xfId="1" applyNumberFormat="1" applyFont="1" applyFill="1" applyBorder="1"/>
    <xf numFmtId="41" fontId="3" fillId="2" borderId="4" xfId="2" applyFont="1" applyFill="1" applyBorder="1"/>
    <xf numFmtId="172" fontId="32" fillId="0" borderId="0" xfId="8" applyNumberFormat="1" applyFont="1" applyFill="1" applyBorder="1"/>
    <xf numFmtId="172" fontId="32" fillId="0" borderId="0" xfId="8" applyNumberFormat="1" applyFont="1" applyFill="1"/>
    <xf numFmtId="172" fontId="32" fillId="7" borderId="0" xfId="8" applyNumberFormat="1" applyFont="1" applyFill="1"/>
    <xf numFmtId="0" fontId="2" fillId="6" borderId="10" xfId="0" applyFont="1" applyFill="1" applyBorder="1"/>
    <xf numFmtId="0" fontId="2" fillId="14" borderId="2" xfId="0" applyFont="1" applyFill="1" applyBorder="1"/>
    <xf numFmtId="9" fontId="2" fillId="14" borderId="2" xfId="3" applyFont="1" applyFill="1" applyBorder="1"/>
    <xf numFmtId="168" fontId="2" fillId="14" borderId="2" xfId="1" applyNumberFormat="1" applyFont="1" applyFill="1" applyBorder="1"/>
    <xf numFmtId="0" fontId="3" fillId="2" borderId="20" xfId="0" applyFont="1" applyFill="1" applyBorder="1"/>
    <xf numFmtId="168" fontId="3" fillId="2" borderId="5" xfId="1" applyNumberFormat="1" applyFont="1" applyFill="1" applyBorder="1"/>
    <xf numFmtId="0" fontId="2" fillId="15" borderId="2" xfId="0" applyFont="1" applyFill="1" applyBorder="1"/>
    <xf numFmtId="168" fontId="2" fillId="15" borderId="2" xfId="1" applyNumberFormat="1" applyFont="1" applyFill="1" applyBorder="1"/>
    <xf numFmtId="168" fontId="2" fillId="15" borderId="2" xfId="4" applyNumberFormat="1" applyFont="1" applyFill="1" applyBorder="1"/>
    <xf numFmtId="41" fontId="2" fillId="14" borderId="2" xfId="2" applyFont="1" applyFill="1" applyBorder="1"/>
    <xf numFmtId="41" fontId="2" fillId="4" borderId="2" xfId="2" applyFont="1" applyFill="1" applyBorder="1"/>
    <xf numFmtId="41" fontId="2" fillId="5" borderId="2" xfId="2" applyFont="1" applyFill="1" applyBorder="1"/>
    <xf numFmtId="168" fontId="8" fillId="2" borderId="0" xfId="3" applyNumberFormat="1" applyFont="1" applyFill="1" applyAlignment="1">
      <alignment horizontal="center"/>
    </xf>
    <xf numFmtId="174" fontId="0" fillId="0" borderId="0" xfId="10" applyNumberFormat="1" applyFont="1"/>
    <xf numFmtId="0" fontId="33" fillId="0" borderId="0" xfId="0" applyFont="1"/>
    <xf numFmtId="174" fontId="33" fillId="0" borderId="0" xfId="10" applyNumberFormat="1" applyFont="1"/>
    <xf numFmtId="174" fontId="33" fillId="0" borderId="0" xfId="0" applyNumberFormat="1" applyFont="1"/>
    <xf numFmtId="0" fontId="33" fillId="0" borderId="5" xfId="0" applyFont="1" applyBorder="1"/>
    <xf numFmtId="0" fontId="33" fillId="0" borderId="5" xfId="0" applyFont="1" applyBorder="1" applyAlignment="1">
      <alignment horizontal="left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" fontId="40" fillId="2" borderId="0" xfId="0" applyNumberFormat="1" applyFont="1" applyFill="1" applyAlignment="1">
      <alignment vertical="center"/>
    </xf>
    <xf numFmtId="170" fontId="40" fillId="2" borderId="0" xfId="0" applyNumberFormat="1" applyFont="1" applyFill="1" applyAlignment="1">
      <alignment vertical="center"/>
    </xf>
    <xf numFmtId="0" fontId="38" fillId="2" borderId="0" xfId="0" applyFont="1" applyFill="1"/>
    <xf numFmtId="0" fontId="40" fillId="2" borderId="0" xfId="0" applyFont="1" applyFill="1" applyAlignment="1">
      <alignment vertical="center"/>
    </xf>
    <xf numFmtId="0" fontId="39" fillId="2" borderId="0" xfId="12" applyFont="1" applyFill="1" applyAlignment="1" applyProtection="1">
      <alignment vertical="center"/>
      <protection locked="0"/>
    </xf>
    <xf numFmtId="14" fontId="39" fillId="2" borderId="0" xfId="12" applyNumberFormat="1" applyFont="1" applyFill="1" applyAlignment="1" applyProtection="1">
      <alignment vertical="center"/>
      <protection locked="0"/>
    </xf>
    <xf numFmtId="0" fontId="39" fillId="2" borderId="0" xfId="13" applyFont="1" applyFill="1" applyProtection="1">
      <protection locked="0"/>
    </xf>
    <xf numFmtId="14" fontId="39" fillId="2" borderId="0" xfId="13" applyNumberFormat="1" applyFont="1" applyFill="1" applyProtection="1">
      <protection locked="0"/>
    </xf>
    <xf numFmtId="175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vertical="center"/>
    </xf>
    <xf numFmtId="4" fontId="38" fillId="2" borderId="0" xfId="0" applyNumberFormat="1" applyFont="1" applyFill="1" applyAlignment="1">
      <alignment vertical="center"/>
    </xf>
    <xf numFmtId="170" fontId="38" fillId="2" borderId="0" xfId="0" applyNumberFormat="1" applyFont="1" applyFill="1" applyAlignment="1">
      <alignment vertical="center"/>
    </xf>
    <xf numFmtId="175" fontId="38" fillId="2" borderId="0" xfId="0" applyNumberFormat="1" applyFont="1" applyFill="1" applyAlignment="1">
      <alignment vertical="center"/>
    </xf>
    <xf numFmtId="0" fontId="0" fillId="2" borderId="0" xfId="0" applyFill="1"/>
    <xf numFmtId="14" fontId="0" fillId="2" borderId="0" xfId="0" applyNumberFormat="1" applyFill="1"/>
    <xf numFmtId="4" fontId="0" fillId="2" borderId="0" xfId="0" applyNumberFormat="1" applyFill="1"/>
    <xf numFmtId="170" fontId="0" fillId="2" borderId="0" xfId="0" applyNumberFormat="1" applyFill="1"/>
    <xf numFmtId="175" fontId="0" fillId="2" borderId="0" xfId="0" applyNumberFormat="1" applyFill="1"/>
    <xf numFmtId="0" fontId="39" fillId="17" borderId="5" xfId="13" applyFont="1" applyFill="1" applyBorder="1" applyAlignment="1" applyProtection="1">
      <alignment horizontal="left"/>
      <protection locked="0"/>
    </xf>
    <xf numFmtId="0" fontId="13" fillId="0" borderId="22" xfId="0" applyFont="1" applyBorder="1" applyAlignment="1">
      <alignment horizontal="center" vertical="center" wrapText="1"/>
    </xf>
    <xf numFmtId="0" fontId="34" fillId="0" borderId="5" xfId="0" applyFont="1" applyBorder="1"/>
    <xf numFmtId="171" fontId="33" fillId="0" borderId="5" xfId="10" applyNumberFormat="1" applyFont="1" applyBorder="1" applyAlignment="1">
      <alignment horizontal="right"/>
    </xf>
    <xf numFmtId="0" fontId="34" fillId="0" borderId="5" xfId="0" applyFont="1" applyBorder="1" applyAlignment="1">
      <alignment horizontal="center" wrapText="1"/>
    </xf>
    <xf numFmtId="9" fontId="39" fillId="2" borderId="0" xfId="3" applyFont="1" applyFill="1" applyAlignment="1" applyProtection="1">
      <alignment vertical="center"/>
      <protection locked="0"/>
    </xf>
    <xf numFmtId="9" fontId="39" fillId="2" borderId="0" xfId="3" applyFont="1" applyFill="1" applyProtection="1">
      <protection locked="0"/>
    </xf>
    <xf numFmtId="9" fontId="0" fillId="2" borderId="0" xfId="3" applyFont="1" applyFill="1"/>
    <xf numFmtId="9" fontId="0" fillId="0" borderId="0" xfId="3" applyFont="1"/>
    <xf numFmtId="9" fontId="34" fillId="0" borderId="5" xfId="3" applyFont="1" applyBorder="1" applyAlignment="1">
      <alignment horizontal="center" wrapText="1"/>
    </xf>
    <xf numFmtId="177" fontId="33" fillId="0" borderId="14" xfId="10" applyNumberFormat="1" applyFont="1" applyBorder="1" applyAlignment="1">
      <alignment horizontal="center" vertical="center"/>
    </xf>
    <xf numFmtId="177" fontId="33" fillId="0" borderId="5" xfId="1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14" xfId="0" applyFont="1" applyBorder="1" applyAlignment="1">
      <alignment horizontal="justify" vertical="center" wrapText="1"/>
    </xf>
    <xf numFmtId="0" fontId="13" fillId="8" borderId="13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1" fontId="0" fillId="0" borderId="0" xfId="2" applyFont="1" applyAlignment="1">
      <alignment horizontal="center"/>
    </xf>
    <xf numFmtId="41" fontId="13" fillId="0" borderId="0" xfId="2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177" fontId="33" fillId="0" borderId="14" xfId="10" applyNumberFormat="1" applyFont="1" applyBorder="1" applyAlignment="1">
      <alignment horizontal="center" vertical="center"/>
    </xf>
    <xf numFmtId="177" fontId="33" fillId="0" borderId="12" xfId="10" applyNumberFormat="1" applyFont="1" applyBorder="1" applyAlignment="1">
      <alignment horizontal="center" vertical="center"/>
    </xf>
    <xf numFmtId="177" fontId="33" fillId="0" borderId="22" xfId="10" applyNumberFormat="1" applyFont="1" applyBorder="1" applyAlignment="1">
      <alignment horizontal="center" vertical="center"/>
    </xf>
    <xf numFmtId="9" fontId="33" fillId="0" borderId="14" xfId="3" applyFont="1" applyBorder="1" applyAlignment="1">
      <alignment horizontal="center" vertical="center"/>
    </xf>
    <xf numFmtId="9" fontId="33" fillId="0" borderId="12" xfId="3" applyFont="1" applyBorder="1" applyAlignment="1">
      <alignment horizontal="center" vertical="center"/>
    </xf>
    <xf numFmtId="9" fontId="33" fillId="0" borderId="22" xfId="3" applyFont="1" applyBorder="1" applyAlignment="1">
      <alignment horizontal="center" vertical="center"/>
    </xf>
    <xf numFmtId="0" fontId="39" fillId="17" borderId="11" xfId="13" applyFont="1" applyFill="1" applyBorder="1" applyAlignment="1" applyProtection="1">
      <alignment horizontal="left"/>
      <protection locked="0"/>
    </xf>
    <xf numFmtId="0" fontId="39" fillId="17" borderId="21" xfId="13" applyFont="1" applyFill="1" applyBorder="1" applyAlignment="1" applyProtection="1">
      <alignment horizontal="left"/>
      <protection locked="0"/>
    </xf>
    <xf numFmtId="0" fontId="39" fillId="17" borderId="17" xfId="13" applyFont="1" applyFill="1" applyBorder="1" applyAlignment="1" applyProtection="1">
      <alignment horizontal="left"/>
      <protection locked="0"/>
    </xf>
    <xf numFmtId="0" fontId="39" fillId="17" borderId="5" xfId="13" applyFont="1" applyFill="1" applyBorder="1" applyAlignment="1" applyProtection="1">
      <alignment horizontal="left"/>
      <protection locked="0"/>
    </xf>
    <xf numFmtId="0" fontId="39" fillId="2" borderId="0" xfId="12" applyFont="1" applyFill="1" applyBorder="1" applyAlignment="1" applyProtection="1">
      <alignment horizontal="center" vertical="center" wrapText="1"/>
      <protection locked="0"/>
    </xf>
    <xf numFmtId="0" fontId="39" fillId="2" borderId="0" xfId="13" applyFont="1" applyFill="1" applyBorder="1" applyAlignment="1" applyProtection="1">
      <alignment horizontal="center" wrapText="1"/>
      <protection locked="0"/>
    </xf>
    <xf numFmtId="0" fontId="33" fillId="0" borderId="5" xfId="0" applyFont="1" applyBorder="1" applyAlignment="1">
      <alignment horizontal="center" vertical="center" wrapText="1"/>
    </xf>
    <xf numFmtId="0" fontId="39" fillId="17" borderId="5" xfId="13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horizontal="center" vertical="center" wrapText="1"/>
    </xf>
    <xf numFmtId="171" fontId="33" fillId="0" borderId="11" xfId="10" applyNumberFormat="1" applyFont="1" applyBorder="1" applyAlignment="1">
      <alignment horizontal="right"/>
    </xf>
    <xf numFmtId="171" fontId="33" fillId="0" borderId="17" xfId="10" applyNumberFormat="1" applyFont="1" applyBorder="1" applyAlignment="1">
      <alignment horizontal="right"/>
    </xf>
    <xf numFmtId="0" fontId="36" fillId="0" borderId="0" xfId="0" applyFont="1" applyAlignment="1">
      <alignment horizontal="left" vertical="center"/>
    </xf>
    <xf numFmtId="0" fontId="33" fillId="0" borderId="5" xfId="0" applyFont="1" applyBorder="1" applyAlignment="1">
      <alignment horizontal="left"/>
    </xf>
    <xf numFmtId="0" fontId="34" fillId="8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4" fillId="16" borderId="5" xfId="0" applyFont="1" applyFill="1" applyBorder="1" applyAlignment="1">
      <alignment horizontal="left"/>
    </xf>
    <xf numFmtId="0" fontId="34" fillId="4" borderId="5" xfId="0" applyFont="1" applyFill="1" applyBorder="1" applyAlignment="1">
      <alignment horizontal="center" wrapText="1"/>
    </xf>
    <xf numFmtId="177" fontId="33" fillId="4" borderId="5" xfId="10" applyNumberFormat="1" applyFont="1" applyFill="1" applyBorder="1" applyAlignment="1">
      <alignment horizontal="right"/>
    </xf>
    <xf numFmtId="0" fontId="13" fillId="4" borderId="5" xfId="0" applyFont="1" applyFill="1" applyBorder="1" applyAlignment="1">
      <alignment horizontal="center" vertical="center" wrapText="1"/>
    </xf>
    <xf numFmtId="0" fontId="0" fillId="4" borderId="5" xfId="0" applyFill="1" applyBorder="1"/>
    <xf numFmtId="176" fontId="0" fillId="0" borderId="5" xfId="0" applyNumberFormat="1" applyBorder="1"/>
    <xf numFmtId="0" fontId="13" fillId="4" borderId="22" xfId="0" applyFont="1" applyFill="1" applyBorder="1" applyAlignment="1">
      <alignment horizontal="center" vertical="center" wrapText="1"/>
    </xf>
    <xf numFmtId="176" fontId="0" fillId="4" borderId="5" xfId="0" applyNumberFormat="1" applyFill="1" applyBorder="1" applyAlignment="1">
      <alignment horizontal="center" vertical="center" wrapText="1"/>
    </xf>
    <xf numFmtId="176" fontId="0" fillId="4" borderId="14" xfId="0" applyNumberForma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/>
    </xf>
    <xf numFmtId="176" fontId="33" fillId="4" borderId="5" xfId="10" applyNumberFormat="1" applyFont="1" applyFill="1" applyBorder="1"/>
    <xf numFmtId="176" fontId="33" fillId="4" borderId="5" xfId="0" applyNumberFormat="1" applyFont="1" applyFill="1" applyBorder="1"/>
  </cellXfs>
  <cellStyles count="15">
    <cellStyle name="Excel Built-in Normal" xfId="6"/>
    <cellStyle name="Millares" xfId="1" builtinId="3"/>
    <cellStyle name="Millares [0]" xfId="2" builtinId="6"/>
    <cellStyle name="Millares 2" xfId="4"/>
    <cellStyle name="Millares 5" xfId="9"/>
    <cellStyle name="Moneda" xfId="10" builtinId="4"/>
    <cellStyle name="Moneda [0]" xfId="5" builtinId="7"/>
    <cellStyle name="Normal" xfId="0" builtinId="0"/>
    <cellStyle name="Normal 2" xfId="14"/>
    <cellStyle name="Normal 2 2 2" xfId="13"/>
    <cellStyle name="Normal 2 3" xfId="12"/>
    <cellStyle name="Normal 3" xfId="11"/>
    <cellStyle name="Normal 4" xfId="8"/>
    <cellStyle name="Porcentaje" xfId="3" builtinId="5"/>
    <cellStyle name="Porcentaje 2" xfId="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3121"/>
      <color rgb="FFE36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71061</xdr:colOff>
      <xdr:row>1</xdr:row>
      <xdr:rowOff>158750</xdr:rowOff>
    </xdr:from>
    <xdr:ext cx="1389439" cy="57142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061" y="301625"/>
          <a:ext cx="1389439" cy="57142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63123</xdr:colOff>
      <xdr:row>0</xdr:row>
      <xdr:rowOff>107871</xdr:rowOff>
    </xdr:from>
    <xdr:ext cx="1492251" cy="70961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123" y="107871"/>
          <a:ext cx="1492251" cy="709613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579060</xdr:colOff>
      <xdr:row>1</xdr:row>
      <xdr:rowOff>12621</xdr:rowOff>
    </xdr:from>
    <xdr:ext cx="1492251" cy="709613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060" y="162300"/>
          <a:ext cx="1492251" cy="709613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63123</xdr:colOff>
      <xdr:row>0</xdr:row>
      <xdr:rowOff>107871</xdr:rowOff>
    </xdr:from>
    <xdr:ext cx="1492251" cy="70961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123" y="107871"/>
          <a:ext cx="1492251" cy="709613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1.13\22.%20Juridica\Users\elian\Desktop\UNION%20TEMPORAL%20QP\Contabilidad\ESTADOS%20FINANCIEROS\Balance%20%20de%20Prueba%202019%20Compar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9">
          <cell r="BK9">
            <v>8591596</v>
          </cell>
        </row>
        <row r="307">
          <cell r="BW307">
            <v>507577455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topLeftCell="A108" workbookViewId="0">
      <selection activeCell="B151" sqref="B151"/>
    </sheetView>
  </sheetViews>
  <sheetFormatPr baseColWidth="10" defaultColWidth="11.42578125" defaultRowHeight="12.75"/>
  <cols>
    <col min="1" max="1" width="39.5703125" style="2" customWidth="1"/>
    <col min="2" max="2" width="13.5703125" style="2" customWidth="1"/>
    <col min="3" max="3" width="15.28515625" style="2" customWidth="1"/>
    <col min="4" max="13" width="13.5703125" style="2" customWidth="1"/>
    <col min="14" max="14" width="15.42578125" style="2" bestFit="1" customWidth="1"/>
    <col min="15" max="15" width="4.5703125" style="2" customWidth="1"/>
    <col min="16" max="16" width="11.85546875" style="2" bestFit="1" customWidth="1"/>
    <col min="17" max="16384" width="11.42578125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1"/>
      <c r="B3" s="1"/>
      <c r="C3" s="1"/>
      <c r="D3" s="1"/>
      <c r="E3" s="1"/>
      <c r="F3" s="3"/>
      <c r="G3" s="1"/>
      <c r="H3" s="1"/>
      <c r="I3" s="1"/>
      <c r="J3" s="1"/>
      <c r="K3" s="1"/>
      <c r="L3" s="1"/>
      <c r="M3" s="1"/>
      <c r="N3" s="1"/>
    </row>
    <row r="4" spans="1:15" ht="13.5" thickBot="1">
      <c r="A4" s="1"/>
      <c r="B4" s="4" t="s">
        <v>243</v>
      </c>
      <c r="C4" s="4" t="s">
        <v>243</v>
      </c>
      <c r="D4" s="1"/>
      <c r="E4" s="1"/>
      <c r="F4" s="1"/>
      <c r="G4" s="1"/>
      <c r="H4" s="1"/>
      <c r="I4" s="1"/>
      <c r="J4" s="1"/>
      <c r="K4" s="3"/>
      <c r="L4" s="3"/>
      <c r="M4" s="3"/>
      <c r="N4" s="1"/>
    </row>
    <row r="5" spans="1:15" ht="13.5" thickBot="1">
      <c r="A5" s="4"/>
      <c r="B5" s="5" t="s">
        <v>58</v>
      </c>
      <c r="C5" s="5" t="s">
        <v>59</v>
      </c>
      <c r="D5" s="5" t="s">
        <v>60</v>
      </c>
      <c r="E5" s="5" t="s">
        <v>61</v>
      </c>
      <c r="F5" s="5" t="s">
        <v>62</v>
      </c>
      <c r="G5" s="5" t="s">
        <v>63</v>
      </c>
      <c r="H5" s="5" t="s">
        <v>64</v>
      </c>
      <c r="I5" s="5" t="s">
        <v>65</v>
      </c>
      <c r="J5" s="5" t="s">
        <v>66</v>
      </c>
      <c r="K5" s="5" t="s">
        <v>67</v>
      </c>
      <c r="L5" s="5" t="s">
        <v>68</v>
      </c>
      <c r="M5" s="5" t="s">
        <v>69</v>
      </c>
      <c r="N5" s="5" t="s">
        <v>70</v>
      </c>
    </row>
    <row r="6" spans="1:15" s="6" customFormat="1" ht="13.5" thickBot="1">
      <c r="B6" s="7">
        <v>44197</v>
      </c>
      <c r="C6" s="7">
        <v>44228</v>
      </c>
      <c r="D6" s="7">
        <v>44256</v>
      </c>
      <c r="E6" s="7">
        <v>44287</v>
      </c>
      <c r="F6" s="7">
        <v>44317</v>
      </c>
      <c r="G6" s="7">
        <v>44348</v>
      </c>
      <c r="H6" s="7">
        <v>44378</v>
      </c>
      <c r="I6" s="7">
        <v>44409</v>
      </c>
      <c r="J6" s="7">
        <v>44440</v>
      </c>
      <c r="K6" s="7">
        <v>44470</v>
      </c>
      <c r="L6" s="7">
        <v>44501</v>
      </c>
      <c r="M6" s="7">
        <v>44531</v>
      </c>
      <c r="N6" s="7" t="s">
        <v>71</v>
      </c>
    </row>
    <row r="7" spans="1:15" s="1" customFormat="1" ht="13.5" thickBot="1">
      <c r="A7" s="8" t="s">
        <v>2</v>
      </c>
      <c r="B7" s="9">
        <f t="shared" ref="B7:N7" si="0">+B17+B27</f>
        <v>242138463</v>
      </c>
      <c r="C7" s="9">
        <f t="shared" si="0"/>
        <v>245391395</v>
      </c>
      <c r="D7" s="9">
        <f t="shared" si="0"/>
        <v>279953724.79633331</v>
      </c>
      <c r="E7" s="9">
        <f t="shared" si="0"/>
        <v>273214748.89499998</v>
      </c>
      <c r="F7" s="9">
        <f t="shared" si="0"/>
        <v>280004544.79633331</v>
      </c>
      <c r="G7" s="9">
        <f t="shared" si="0"/>
        <v>273214748.89499998</v>
      </c>
      <c r="H7" s="10">
        <f t="shared" si="0"/>
        <v>281504544.79633331</v>
      </c>
      <c r="I7" s="9">
        <f t="shared" si="0"/>
        <v>280004544.79633331</v>
      </c>
      <c r="J7" s="9">
        <f t="shared" si="0"/>
        <v>259605748.89500001</v>
      </c>
      <c r="K7" s="9">
        <f t="shared" si="0"/>
        <v>276704544.79633331</v>
      </c>
      <c r="L7" s="9">
        <f t="shared" si="0"/>
        <v>259605748.89500001</v>
      </c>
      <c r="M7" s="9">
        <f t="shared" si="0"/>
        <v>276704544.79633331</v>
      </c>
      <c r="N7" s="9">
        <f t="shared" si="0"/>
        <v>3228047302.3579998</v>
      </c>
    </row>
    <row r="8" spans="1:15" s="1" customFormat="1" ht="13.5" thickBot="1">
      <c r="A8" s="11" t="s">
        <v>3</v>
      </c>
      <c r="B8" s="12"/>
      <c r="C8" s="12"/>
      <c r="D8" s="12"/>
      <c r="E8" s="12"/>
      <c r="F8" s="12"/>
      <c r="G8" s="12"/>
      <c r="H8" s="13"/>
      <c r="I8" s="12"/>
      <c r="J8" s="12"/>
      <c r="K8" s="12"/>
      <c r="L8" s="12"/>
      <c r="M8" s="12"/>
      <c r="N8" s="12"/>
    </row>
    <row r="9" spans="1:15">
      <c r="A9" s="14" t="s">
        <v>4</v>
      </c>
      <c r="B9" s="15">
        <v>164807160</v>
      </c>
      <c r="C9" s="15">
        <v>148399352</v>
      </c>
      <c r="D9" s="15">
        <f>+ventas!F33</f>
        <v>196110901.79633331</v>
      </c>
      <c r="E9" s="15">
        <f>+ventas!H33</f>
        <v>179990705.89500001</v>
      </c>
      <c r="F9" s="15">
        <f>+ventas!J33</f>
        <v>196110901.79633331</v>
      </c>
      <c r="G9" s="15">
        <f>+ventas!L33</f>
        <v>179990705.89500001</v>
      </c>
      <c r="H9" s="15">
        <f>+ventas!P33</f>
        <v>196110901.79633331</v>
      </c>
      <c r="I9" s="15">
        <f>+ventas!P33</f>
        <v>196110901.79633331</v>
      </c>
      <c r="J9" s="15">
        <f>+ventas!R33</f>
        <v>179990705.89500001</v>
      </c>
      <c r="K9" s="15">
        <f>+ventas!T33</f>
        <v>196110901.79633331</v>
      </c>
      <c r="L9" s="15">
        <f>+ventas!V33</f>
        <v>179990705.89500001</v>
      </c>
      <c r="M9" s="15">
        <f>+ventas!X33</f>
        <v>196110901.79633331</v>
      </c>
      <c r="N9" s="17">
        <f>SUM(B9:M9)</f>
        <v>2209834746.3579998</v>
      </c>
    </row>
    <row r="10" spans="1:15">
      <c r="A10" s="14" t="s">
        <v>5</v>
      </c>
      <c r="B10" s="15">
        <v>44377651</v>
      </c>
      <c r="C10" s="15">
        <v>44816118</v>
      </c>
      <c r="D10" s="15">
        <f>+ventas!E36</f>
        <v>50600000.000000007</v>
      </c>
      <c r="E10" s="15">
        <f>+ventas!F36</f>
        <v>47300000.000000007</v>
      </c>
      <c r="F10" s="15">
        <f>+ventas!G36</f>
        <v>50600000.000000007</v>
      </c>
      <c r="G10" s="15">
        <f>+ventas!H36</f>
        <v>47300000.000000007</v>
      </c>
      <c r="H10" s="15">
        <f>+ventas!I36</f>
        <v>47300000.000000007</v>
      </c>
      <c r="I10" s="15">
        <f>+ventas!J36</f>
        <v>50600000.000000007</v>
      </c>
      <c r="J10" s="15">
        <f>+ventas!K36</f>
        <v>47300000.000000007</v>
      </c>
      <c r="K10" s="15">
        <f>+ventas!L36</f>
        <v>47300000.000000007</v>
      </c>
      <c r="L10" s="15">
        <f>+ventas!M36</f>
        <v>47300000.000000007</v>
      </c>
      <c r="M10" s="15">
        <f>+ventas!N36</f>
        <v>47300000.000000007</v>
      </c>
      <c r="N10" s="17">
        <f t="shared" ref="N10:N16" si="1">SUM(B10:M10)</f>
        <v>572093769</v>
      </c>
    </row>
    <row r="11" spans="1:15">
      <c r="A11" s="14" t="s">
        <v>6</v>
      </c>
      <c r="B11" s="15">
        <v>0</v>
      </c>
      <c r="C11" s="15">
        <v>0</v>
      </c>
      <c r="D11" s="15"/>
      <c r="E11" s="15"/>
      <c r="F11" s="15"/>
      <c r="G11" s="15"/>
      <c r="H11" s="16"/>
      <c r="I11" s="15"/>
      <c r="J11" s="15"/>
      <c r="K11" s="15"/>
      <c r="L11" s="15"/>
      <c r="M11" s="15"/>
      <c r="N11" s="17">
        <f t="shared" si="1"/>
        <v>0</v>
      </c>
      <c r="O11" s="18"/>
    </row>
    <row r="12" spans="1:15">
      <c r="A12" s="14" t="s">
        <v>7</v>
      </c>
      <c r="B12" s="15">
        <v>0</v>
      </c>
      <c r="C12" s="15">
        <v>581400</v>
      </c>
      <c r="D12" s="15"/>
      <c r="E12" s="15"/>
      <c r="F12" s="15"/>
      <c r="G12" s="15"/>
      <c r="H12" s="16"/>
      <c r="I12" s="15"/>
      <c r="J12" s="15"/>
      <c r="K12" s="15"/>
      <c r="L12" s="15"/>
      <c r="M12" s="15"/>
      <c r="N12" s="17">
        <f t="shared" si="1"/>
        <v>581400</v>
      </c>
    </row>
    <row r="13" spans="1:15">
      <c r="A13" s="14" t="s">
        <v>8</v>
      </c>
      <c r="B13" s="15">
        <v>406400</v>
      </c>
      <c r="C13" s="15">
        <v>1219239</v>
      </c>
      <c r="D13" s="15">
        <v>1117600</v>
      </c>
      <c r="E13" s="15">
        <v>1168420</v>
      </c>
      <c r="F13" s="15">
        <v>1168420</v>
      </c>
      <c r="G13" s="15">
        <v>1168420</v>
      </c>
      <c r="H13" s="15">
        <v>1168420</v>
      </c>
      <c r="I13" s="15">
        <v>1168420</v>
      </c>
      <c r="J13" s="15">
        <v>1168420</v>
      </c>
      <c r="K13" s="15">
        <v>1168420</v>
      </c>
      <c r="L13" s="15">
        <v>1168420</v>
      </c>
      <c r="M13" s="15">
        <v>1168420</v>
      </c>
      <c r="N13" s="17">
        <f t="shared" si="1"/>
        <v>13259019</v>
      </c>
    </row>
    <row r="14" spans="1:15">
      <c r="A14" s="14" t="s">
        <v>9</v>
      </c>
      <c r="B14" s="15">
        <v>20442954</v>
      </c>
      <c r="C14" s="15">
        <v>22762236</v>
      </c>
      <c r="D14" s="15">
        <f>+ventas!E40</f>
        <v>21597702</v>
      </c>
      <c r="E14" s="15">
        <f>+ventas!F40</f>
        <v>20619102</v>
      </c>
      <c r="F14" s="15">
        <f>+ventas!G40</f>
        <v>21597702</v>
      </c>
      <c r="G14" s="15">
        <f>+ventas!H40</f>
        <v>20619102</v>
      </c>
      <c r="H14" s="15">
        <f>+ventas!I40</f>
        <v>21597702</v>
      </c>
      <c r="I14" s="15">
        <f>+ventas!J40</f>
        <v>21597702</v>
      </c>
      <c r="J14" s="15">
        <f>+ventas!K40</f>
        <v>20619102</v>
      </c>
      <c r="K14" s="15">
        <f>+ventas!L40</f>
        <v>21597702</v>
      </c>
      <c r="L14" s="15">
        <f>+ventas!M40</f>
        <v>20619102</v>
      </c>
      <c r="M14" s="15">
        <f>+ventas!N40</f>
        <v>21597702</v>
      </c>
      <c r="N14" s="17">
        <f t="shared" si="1"/>
        <v>255267810</v>
      </c>
    </row>
    <row r="15" spans="1:15">
      <c r="A15" s="14" t="s">
        <v>10</v>
      </c>
      <c r="B15" s="15">
        <v>7173138</v>
      </c>
      <c r="C15" s="15">
        <v>7486290</v>
      </c>
      <c r="D15" s="15">
        <f>+ventas!E41</f>
        <v>7329714</v>
      </c>
      <c r="E15" s="15">
        <f>+ventas!F41</f>
        <v>7329714</v>
      </c>
      <c r="F15" s="15">
        <f>+ventas!G41</f>
        <v>7329714</v>
      </c>
      <c r="G15" s="15">
        <f>+ventas!H41</f>
        <v>7329714</v>
      </c>
      <c r="H15" s="15">
        <f>+ventas!I41</f>
        <v>7329714</v>
      </c>
      <c r="I15" s="15">
        <f>+ventas!J41</f>
        <v>7329714</v>
      </c>
      <c r="J15" s="15">
        <f>+ventas!K41</f>
        <v>7329714</v>
      </c>
      <c r="K15" s="15">
        <f>+ventas!L41</f>
        <v>7329714</v>
      </c>
      <c r="L15" s="15">
        <f>+ventas!M41</f>
        <v>7329714</v>
      </c>
      <c r="M15" s="15">
        <f>+ventas!N41</f>
        <v>7329714</v>
      </c>
      <c r="N15" s="17">
        <f t="shared" si="1"/>
        <v>87956568</v>
      </c>
    </row>
    <row r="16" spans="1:15" ht="13.5" thickBot="1">
      <c r="A16" s="14" t="s">
        <v>11</v>
      </c>
      <c r="B16" s="15">
        <v>1933253</v>
      </c>
      <c r="C16" s="15">
        <v>1947885</v>
      </c>
      <c r="D16" s="15">
        <f>+ventas!E42</f>
        <v>1940569</v>
      </c>
      <c r="E16" s="15">
        <f>+ventas!F42</f>
        <v>1940569</v>
      </c>
      <c r="F16" s="15">
        <f>+ventas!G42</f>
        <v>1940569</v>
      </c>
      <c r="G16" s="15">
        <f>+ventas!H42</f>
        <v>1940569</v>
      </c>
      <c r="H16" s="15">
        <f>+ventas!I42</f>
        <v>1940569</v>
      </c>
      <c r="I16" s="15">
        <f>+ventas!J42</f>
        <v>1940569</v>
      </c>
      <c r="J16" s="15">
        <f>+ventas!K42</f>
        <v>1940569</v>
      </c>
      <c r="K16" s="15">
        <f>+ventas!L42</f>
        <v>1940569</v>
      </c>
      <c r="L16" s="15">
        <f>+ventas!M42</f>
        <v>1940569</v>
      </c>
      <c r="M16" s="15">
        <f>+ventas!N42</f>
        <v>1940569</v>
      </c>
      <c r="N16" s="17">
        <f t="shared" si="1"/>
        <v>23286828</v>
      </c>
    </row>
    <row r="17" spans="1:15" s="1" customFormat="1" ht="13.5" thickBot="1">
      <c r="A17" s="11" t="s">
        <v>12</v>
      </c>
      <c r="B17" s="19">
        <f t="shared" ref="B17:N17" si="2">SUM(B9:B16)</f>
        <v>239140556</v>
      </c>
      <c r="C17" s="19">
        <f t="shared" si="2"/>
        <v>227212520</v>
      </c>
      <c r="D17" s="19">
        <f t="shared" si="2"/>
        <v>278696486.79633331</v>
      </c>
      <c r="E17" s="19">
        <f t="shared" si="2"/>
        <v>258348510.89500001</v>
      </c>
      <c r="F17" s="19">
        <f t="shared" si="2"/>
        <v>278747306.79633331</v>
      </c>
      <c r="G17" s="19">
        <f t="shared" si="2"/>
        <v>258348510.89500001</v>
      </c>
      <c r="H17" s="20">
        <f t="shared" si="2"/>
        <v>275447306.79633331</v>
      </c>
      <c r="I17" s="19">
        <f t="shared" si="2"/>
        <v>278747306.79633331</v>
      </c>
      <c r="J17" s="19">
        <f t="shared" si="2"/>
        <v>258348510.89500001</v>
      </c>
      <c r="K17" s="19">
        <f t="shared" si="2"/>
        <v>275447306.79633331</v>
      </c>
      <c r="L17" s="19">
        <f t="shared" si="2"/>
        <v>258348510.89500001</v>
      </c>
      <c r="M17" s="19">
        <f t="shared" si="2"/>
        <v>275447306.79633331</v>
      </c>
      <c r="N17" s="19">
        <f t="shared" si="2"/>
        <v>3162280140.3579998</v>
      </c>
      <c r="O17" s="3"/>
    </row>
    <row r="18" spans="1:15" s="1" customFormat="1" ht="13.5" thickBot="1">
      <c r="A18" s="21"/>
      <c r="B18" s="22">
        <f t="shared" ref="B18:N18" si="3">+B17/B7</f>
        <v>0.98761903845073962</v>
      </c>
      <c r="C18" s="22">
        <f t="shared" si="3"/>
        <v>0.9259188570976582</v>
      </c>
      <c r="D18" s="22">
        <f t="shared" si="3"/>
        <v>0.9955091220846779</v>
      </c>
      <c r="E18" s="22">
        <f t="shared" si="3"/>
        <v>0.94558771786616369</v>
      </c>
      <c r="F18" s="22">
        <f t="shared" si="3"/>
        <v>0.99550993716578962</v>
      </c>
      <c r="G18" s="22">
        <f t="shared" si="3"/>
        <v>0.94558771786616369</v>
      </c>
      <c r="H18" s="22">
        <f t="shared" si="3"/>
        <v>0.97848262803578401</v>
      </c>
      <c r="I18" s="22">
        <f t="shared" si="3"/>
        <v>0.99550993716578962</v>
      </c>
      <c r="J18" s="22">
        <f t="shared" si="3"/>
        <v>0.9951571257364239</v>
      </c>
      <c r="K18" s="22">
        <f t="shared" si="3"/>
        <v>0.99545638832594752</v>
      </c>
      <c r="L18" s="22">
        <f t="shared" si="3"/>
        <v>0.9951571257364239</v>
      </c>
      <c r="M18" s="22">
        <f t="shared" si="3"/>
        <v>0.99545638832594752</v>
      </c>
      <c r="N18" s="22">
        <f t="shared" si="3"/>
        <v>0.97962633262779053</v>
      </c>
      <c r="O18" s="3"/>
    </row>
    <row r="19" spans="1:15" s="1" customFormat="1" ht="13.5" thickBot="1">
      <c r="A19" s="11" t="s">
        <v>13</v>
      </c>
      <c r="B19" s="23"/>
      <c r="C19" s="23"/>
      <c r="D19" s="23"/>
      <c r="E19" s="23"/>
      <c r="F19" s="23"/>
      <c r="G19" s="23"/>
      <c r="H19" s="24"/>
      <c r="I19" s="23"/>
      <c r="J19" s="23"/>
      <c r="K19" s="23"/>
      <c r="L19" s="23"/>
      <c r="M19" s="23"/>
      <c r="N19" s="23"/>
    </row>
    <row r="20" spans="1:15" s="1" customFormat="1">
      <c r="A20" s="14" t="s">
        <v>14</v>
      </c>
      <c r="B20" s="15">
        <v>84000</v>
      </c>
      <c r="C20" s="15">
        <v>84000</v>
      </c>
      <c r="D20" s="15">
        <v>84000</v>
      </c>
      <c r="E20" s="15">
        <v>84000</v>
      </c>
      <c r="F20" s="15">
        <v>84000</v>
      </c>
      <c r="G20" s="15">
        <v>84000</v>
      </c>
      <c r="H20" s="15">
        <v>84000</v>
      </c>
      <c r="I20" s="15">
        <v>84000</v>
      </c>
      <c r="J20" s="15">
        <v>84000</v>
      </c>
      <c r="K20" s="15">
        <v>84000</v>
      </c>
      <c r="L20" s="15">
        <v>84000</v>
      </c>
      <c r="M20" s="15">
        <v>84000</v>
      </c>
      <c r="N20" s="17">
        <f t="shared" ref="N20:N26" si="4">SUM(B20:M20)</f>
        <v>1008000</v>
      </c>
    </row>
    <row r="21" spans="1:15" s="1" customFormat="1">
      <c r="A21" s="14" t="s">
        <v>16</v>
      </c>
      <c r="B21" s="15">
        <v>241294</v>
      </c>
      <c r="C21" s="15">
        <v>510816</v>
      </c>
      <c r="D21" s="15">
        <v>150000</v>
      </c>
      <c r="E21" s="15">
        <v>150000</v>
      </c>
      <c r="F21" s="15">
        <v>150000</v>
      </c>
      <c r="G21" s="15">
        <v>150000</v>
      </c>
      <c r="H21" s="15">
        <v>150000</v>
      </c>
      <c r="I21" s="15">
        <v>150000</v>
      </c>
      <c r="J21" s="15">
        <v>150000</v>
      </c>
      <c r="K21" s="15">
        <v>150000</v>
      </c>
      <c r="L21" s="15">
        <v>150000</v>
      </c>
      <c r="M21" s="15">
        <v>150000</v>
      </c>
      <c r="N21" s="17">
        <f t="shared" si="4"/>
        <v>2252110</v>
      </c>
    </row>
    <row r="22" spans="1:15" s="1" customFormat="1">
      <c r="A22" s="14" t="s">
        <v>85</v>
      </c>
      <c r="B22" s="15">
        <v>866763</v>
      </c>
      <c r="C22" s="15">
        <v>827197</v>
      </c>
      <c r="D22" s="15">
        <v>966000</v>
      </c>
      <c r="E22" s="15">
        <v>966000</v>
      </c>
      <c r="F22" s="15">
        <v>966000</v>
      </c>
      <c r="G22" s="15">
        <v>966000</v>
      </c>
      <c r="H22" s="15">
        <v>966000</v>
      </c>
      <c r="I22" s="15">
        <v>966000</v>
      </c>
      <c r="J22" s="15">
        <v>966000</v>
      </c>
      <c r="K22" s="15">
        <v>966000</v>
      </c>
      <c r="L22" s="15">
        <v>966000</v>
      </c>
      <c r="M22" s="15">
        <v>966000</v>
      </c>
      <c r="N22" s="17">
        <f t="shared" si="4"/>
        <v>11353960</v>
      </c>
    </row>
    <row r="23" spans="1:15" s="1" customFormat="1">
      <c r="A23" s="14" t="s">
        <v>86</v>
      </c>
      <c r="B23" s="15">
        <v>0</v>
      </c>
      <c r="C23" s="15">
        <v>95000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7">
        <f t="shared" si="4"/>
        <v>95000</v>
      </c>
    </row>
    <row r="24" spans="1:15" s="1" customFormat="1">
      <c r="A24" s="14" t="s">
        <v>87</v>
      </c>
      <c r="B24" s="15">
        <v>0</v>
      </c>
      <c r="C24" s="15">
        <v>13609000</v>
      </c>
      <c r="D24" s="15"/>
      <c r="E24" s="15">
        <v>13609000</v>
      </c>
      <c r="F24" s="15"/>
      <c r="G24" s="15">
        <v>13609000</v>
      </c>
      <c r="H24" s="16"/>
      <c r="I24" s="15">
        <v>0</v>
      </c>
      <c r="J24" s="15"/>
      <c r="K24" s="15">
        <v>0</v>
      </c>
      <c r="L24" s="15"/>
      <c r="M24" s="15">
        <v>0</v>
      </c>
      <c r="N24" s="17">
        <f t="shared" si="4"/>
        <v>40827000</v>
      </c>
    </row>
    <row r="25" spans="1:15" s="1" customFormat="1">
      <c r="A25" s="14" t="s">
        <v>83</v>
      </c>
      <c r="B25" s="15">
        <v>1722565</v>
      </c>
      <c r="C25" s="15">
        <v>2993362</v>
      </c>
      <c r="D25" s="15">
        <v>0</v>
      </c>
      <c r="E25" s="15">
        <v>0</v>
      </c>
      <c r="F25" s="15">
        <v>0</v>
      </c>
      <c r="G25" s="15">
        <v>0</v>
      </c>
      <c r="H25" s="15">
        <v>4800000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7">
        <f t="shared" si="4"/>
        <v>9515927</v>
      </c>
    </row>
    <row r="26" spans="1:15" s="1" customFormat="1" ht="13.5" thickBot="1">
      <c r="A26" s="14" t="s">
        <v>244</v>
      </c>
      <c r="B26" s="15">
        <v>83285</v>
      </c>
      <c r="C26" s="15">
        <v>59500</v>
      </c>
      <c r="D26" s="15">
        <v>57238</v>
      </c>
      <c r="E26" s="15">
        <v>57238</v>
      </c>
      <c r="F26" s="15">
        <v>57238</v>
      </c>
      <c r="G26" s="15">
        <v>57238</v>
      </c>
      <c r="H26" s="15">
        <v>57238</v>
      </c>
      <c r="I26" s="15">
        <v>57238</v>
      </c>
      <c r="J26" s="15">
        <v>57238</v>
      </c>
      <c r="K26" s="15">
        <v>57238</v>
      </c>
      <c r="L26" s="15">
        <v>57238</v>
      </c>
      <c r="M26" s="15">
        <v>57238</v>
      </c>
      <c r="N26" s="17">
        <f t="shared" si="4"/>
        <v>715165</v>
      </c>
    </row>
    <row r="27" spans="1:15" s="1" customFormat="1" ht="13.5" thickBot="1">
      <c r="A27" s="11" t="s">
        <v>17</v>
      </c>
      <c r="B27" s="19">
        <f t="shared" ref="B27:N27" si="5">SUM(B20:B26)</f>
        <v>2997907</v>
      </c>
      <c r="C27" s="19">
        <f t="shared" si="5"/>
        <v>18178875</v>
      </c>
      <c r="D27" s="19">
        <f t="shared" si="5"/>
        <v>1257238</v>
      </c>
      <c r="E27" s="19">
        <f t="shared" si="5"/>
        <v>14866238</v>
      </c>
      <c r="F27" s="19">
        <f t="shared" si="5"/>
        <v>1257238</v>
      </c>
      <c r="G27" s="19">
        <f t="shared" si="5"/>
        <v>14866238</v>
      </c>
      <c r="H27" s="20">
        <f t="shared" si="5"/>
        <v>6057238</v>
      </c>
      <c r="I27" s="19">
        <f t="shared" si="5"/>
        <v>1257238</v>
      </c>
      <c r="J27" s="19">
        <f t="shared" si="5"/>
        <v>1257238</v>
      </c>
      <c r="K27" s="19">
        <f t="shared" si="5"/>
        <v>1257238</v>
      </c>
      <c r="L27" s="19">
        <f t="shared" si="5"/>
        <v>1257238</v>
      </c>
      <c r="M27" s="19">
        <f t="shared" si="5"/>
        <v>1257238</v>
      </c>
      <c r="N27" s="19">
        <f t="shared" si="5"/>
        <v>65767162</v>
      </c>
    </row>
    <row r="28" spans="1:15" s="1" customFormat="1" ht="13.5" thickBot="1">
      <c r="A28" s="21"/>
      <c r="B28" s="22">
        <f t="shared" ref="B28:N28" si="6">+B27/B7</f>
        <v>1.238096154926035E-2</v>
      </c>
      <c r="C28" s="22">
        <f t="shared" si="6"/>
        <v>7.4081142902341787E-2</v>
      </c>
      <c r="D28" s="22">
        <f t="shared" si="6"/>
        <v>4.4908779153220489E-3</v>
      </c>
      <c r="E28" s="22">
        <f t="shared" si="6"/>
        <v>5.4412282133836379E-2</v>
      </c>
      <c r="F28" s="22">
        <f t="shared" si="6"/>
        <v>4.4900628342103384E-3</v>
      </c>
      <c r="G28" s="22">
        <f t="shared" si="6"/>
        <v>5.4412282133836379E-2</v>
      </c>
      <c r="H28" s="22">
        <f t="shared" si="6"/>
        <v>2.1517371964215968E-2</v>
      </c>
      <c r="I28" s="22">
        <f t="shared" si="6"/>
        <v>4.4900628342103384E-3</v>
      </c>
      <c r="J28" s="22">
        <f t="shared" si="6"/>
        <v>4.8428742635761189E-3</v>
      </c>
      <c r="K28" s="22">
        <f t="shared" si="6"/>
        <v>4.5436116740524895E-3</v>
      </c>
      <c r="L28" s="22">
        <f t="shared" si="6"/>
        <v>4.8428742635761189E-3</v>
      </c>
      <c r="M28" s="22">
        <f t="shared" si="6"/>
        <v>4.5436116740524895E-3</v>
      </c>
      <c r="N28" s="22">
        <f t="shared" si="6"/>
        <v>2.0373667372209477E-2</v>
      </c>
    </row>
    <row r="29" spans="1:15" s="1" customFormat="1" ht="13.5" thickBot="1">
      <c r="A29" s="8" t="s">
        <v>18</v>
      </c>
      <c r="B29" s="23"/>
      <c r="C29" s="23"/>
      <c r="D29" s="23"/>
      <c r="E29" s="23"/>
      <c r="F29" s="23"/>
      <c r="G29" s="23"/>
      <c r="H29" s="24"/>
      <c r="I29" s="23"/>
      <c r="J29" s="23"/>
      <c r="K29" s="23"/>
      <c r="L29" s="23"/>
      <c r="M29" s="23"/>
      <c r="N29" s="23"/>
    </row>
    <row r="30" spans="1:15" s="1" customFormat="1" ht="13.5" thickBot="1">
      <c r="A30" s="11" t="s">
        <v>19</v>
      </c>
      <c r="B30" s="25"/>
      <c r="C30" s="25"/>
      <c r="D30" s="25"/>
      <c r="E30" s="25"/>
      <c r="F30" s="25"/>
      <c r="G30" s="25"/>
      <c r="H30" s="26"/>
      <c r="I30" s="25"/>
      <c r="J30" s="25"/>
      <c r="K30" s="25"/>
      <c r="L30" s="25"/>
      <c r="M30" s="25"/>
      <c r="N30" s="25"/>
    </row>
    <row r="31" spans="1:15">
      <c r="A31" s="27" t="s">
        <v>20</v>
      </c>
      <c r="B31" s="28">
        <v>85627238</v>
      </c>
      <c r="C31" s="28">
        <v>90052025.210000008</v>
      </c>
      <c r="D31" s="28">
        <f>+D17*30%</f>
        <v>83608946.038899988</v>
      </c>
      <c r="E31" s="28">
        <f t="shared" ref="E31:M31" si="7">+E17*30%</f>
        <v>77504553.2685</v>
      </c>
      <c r="F31" s="28">
        <f t="shared" si="7"/>
        <v>83624192.038899988</v>
      </c>
      <c r="G31" s="28">
        <f t="shared" si="7"/>
        <v>77504553.2685</v>
      </c>
      <c r="H31" s="28">
        <f t="shared" si="7"/>
        <v>82634192.038899988</v>
      </c>
      <c r="I31" s="28">
        <f t="shared" si="7"/>
        <v>83624192.038899988</v>
      </c>
      <c r="J31" s="28">
        <f t="shared" si="7"/>
        <v>77504553.2685</v>
      </c>
      <c r="K31" s="28">
        <f t="shared" si="7"/>
        <v>82634192.038899988</v>
      </c>
      <c r="L31" s="28">
        <f t="shared" si="7"/>
        <v>77504553.2685</v>
      </c>
      <c r="M31" s="28">
        <f t="shared" si="7"/>
        <v>82634192.038899988</v>
      </c>
      <c r="N31" s="17">
        <f t="shared" ref="N31:N33" si="8">SUM(B31:M31)</f>
        <v>984457382.51740003</v>
      </c>
      <c r="O31" s="18"/>
    </row>
    <row r="32" spans="1:15">
      <c r="A32" s="27" t="s">
        <v>21</v>
      </c>
      <c r="B32" s="29"/>
      <c r="C32" s="29"/>
      <c r="D32" s="29">
        <f>+D17*6%</f>
        <v>16721789.207779998</v>
      </c>
      <c r="E32" s="29">
        <f t="shared" ref="E32:M32" si="9">+E17*6%</f>
        <v>15500910.6537</v>
      </c>
      <c r="F32" s="29">
        <f t="shared" si="9"/>
        <v>16724838.407779999</v>
      </c>
      <c r="G32" s="29">
        <f t="shared" si="9"/>
        <v>15500910.6537</v>
      </c>
      <c r="H32" s="29">
        <f t="shared" si="9"/>
        <v>16526838.407779999</v>
      </c>
      <c r="I32" s="29">
        <f t="shared" si="9"/>
        <v>16724838.407779999</v>
      </c>
      <c r="J32" s="29">
        <f t="shared" si="9"/>
        <v>15500910.6537</v>
      </c>
      <c r="K32" s="29">
        <f t="shared" si="9"/>
        <v>16526838.407779999</v>
      </c>
      <c r="L32" s="29">
        <f t="shared" si="9"/>
        <v>15500910.6537</v>
      </c>
      <c r="M32" s="29">
        <f t="shared" si="9"/>
        <v>16526838.407779999</v>
      </c>
      <c r="N32" s="17">
        <f t="shared" si="8"/>
        <v>161755623.86147997</v>
      </c>
    </row>
    <row r="33" spans="1:15" ht="13.5" thickBot="1">
      <c r="A33" s="14" t="s">
        <v>269</v>
      </c>
      <c r="B33" s="15"/>
      <c r="C33" s="15"/>
      <c r="D33" s="15">
        <f>+D17*4%</f>
        <v>11147859.471853333</v>
      </c>
      <c r="E33" s="15">
        <f t="shared" ref="E33:M33" si="10">+E17*4%</f>
        <v>10333940.435800001</v>
      </c>
      <c r="F33" s="15">
        <f t="shared" si="10"/>
        <v>11149892.271853333</v>
      </c>
      <c r="G33" s="15">
        <f t="shared" si="10"/>
        <v>10333940.435800001</v>
      </c>
      <c r="H33" s="15">
        <f t="shared" si="10"/>
        <v>11017892.271853333</v>
      </c>
      <c r="I33" s="15">
        <f t="shared" si="10"/>
        <v>11149892.271853333</v>
      </c>
      <c r="J33" s="15">
        <f t="shared" si="10"/>
        <v>10333940.435800001</v>
      </c>
      <c r="K33" s="15">
        <f t="shared" si="10"/>
        <v>11017892.271853333</v>
      </c>
      <c r="L33" s="15">
        <f t="shared" si="10"/>
        <v>10333940.435800001</v>
      </c>
      <c r="M33" s="15">
        <f t="shared" si="10"/>
        <v>11017892.271853333</v>
      </c>
      <c r="N33" s="17">
        <f t="shared" si="8"/>
        <v>107837082.57432</v>
      </c>
    </row>
    <row r="34" spans="1:15" s="1" customFormat="1" ht="13.5" thickBot="1">
      <c r="A34" s="11" t="s">
        <v>22</v>
      </c>
      <c r="B34" s="19">
        <f>SUM(B31:B33)</f>
        <v>85627238</v>
      </c>
      <c r="C34" s="19">
        <f t="shared" ref="C34:N34" si="11">SUM(C31:C33)</f>
        <v>90052025.210000008</v>
      </c>
      <c r="D34" s="19">
        <f>SUM(D31:D33)</f>
        <v>111478594.71853332</v>
      </c>
      <c r="E34" s="19">
        <f t="shared" si="11"/>
        <v>103339404.358</v>
      </c>
      <c r="F34" s="19">
        <f t="shared" si="11"/>
        <v>111498922.71853331</v>
      </c>
      <c r="G34" s="19">
        <f t="shared" si="11"/>
        <v>103339404.358</v>
      </c>
      <c r="H34" s="20">
        <f>SUM(H31:H33)</f>
        <v>110178922.71853331</v>
      </c>
      <c r="I34" s="19">
        <f t="shared" si="11"/>
        <v>111498922.71853331</v>
      </c>
      <c r="J34" s="19">
        <f t="shared" si="11"/>
        <v>103339404.358</v>
      </c>
      <c r="K34" s="19">
        <f t="shared" si="11"/>
        <v>110178922.71853331</v>
      </c>
      <c r="L34" s="19">
        <f t="shared" si="11"/>
        <v>103339404.358</v>
      </c>
      <c r="M34" s="19">
        <f t="shared" si="11"/>
        <v>110178922.71853331</v>
      </c>
      <c r="N34" s="19">
        <f t="shared" si="11"/>
        <v>1254050088.9532001</v>
      </c>
      <c r="O34" s="3"/>
    </row>
    <row r="35" spans="1:15" s="1" customFormat="1" ht="13.5" thickBot="1">
      <c r="A35" s="21"/>
      <c r="B35" s="30">
        <f t="shared" ref="B35:N35" si="12">+B34/B17</f>
        <v>0.35806238570424664</v>
      </c>
      <c r="C35" s="30">
        <f t="shared" si="12"/>
        <v>0.39633390453131723</v>
      </c>
      <c r="D35" s="30">
        <f t="shared" si="12"/>
        <v>0.39999999999999997</v>
      </c>
      <c r="E35" s="30">
        <f t="shared" si="12"/>
        <v>0.39999999999999997</v>
      </c>
      <c r="F35" s="30">
        <f t="shared" si="12"/>
        <v>0.39999999999999991</v>
      </c>
      <c r="G35" s="30">
        <f t="shared" si="12"/>
        <v>0.39999999999999997</v>
      </c>
      <c r="H35" s="30">
        <f t="shared" si="12"/>
        <v>0.39999999999999991</v>
      </c>
      <c r="I35" s="30">
        <f t="shared" si="12"/>
        <v>0.39999999999999991</v>
      </c>
      <c r="J35" s="30">
        <f t="shared" si="12"/>
        <v>0.39999999999999997</v>
      </c>
      <c r="K35" s="30">
        <f t="shared" si="12"/>
        <v>0.39999999999999991</v>
      </c>
      <c r="L35" s="30">
        <f t="shared" si="12"/>
        <v>0.39999999999999997</v>
      </c>
      <c r="M35" s="30">
        <f t="shared" si="12"/>
        <v>0.39999999999999991</v>
      </c>
      <c r="N35" s="30">
        <f t="shared" si="12"/>
        <v>0.3965651470749299</v>
      </c>
    </row>
    <row r="36" spans="1:15" s="1" customFormat="1" ht="13.5" thickBot="1">
      <c r="A36" s="11" t="s">
        <v>23</v>
      </c>
      <c r="B36" s="31"/>
      <c r="C36" s="31"/>
      <c r="D36" s="31"/>
      <c r="E36" s="31"/>
      <c r="F36" s="31"/>
      <c r="G36" s="31"/>
      <c r="H36" s="24"/>
      <c r="I36" s="32"/>
      <c r="J36" s="31"/>
      <c r="K36" s="31"/>
      <c r="L36" s="31"/>
      <c r="M36" s="31"/>
      <c r="N36" s="23"/>
    </row>
    <row r="37" spans="1:15" s="35" customFormat="1" ht="13.5" thickBot="1">
      <c r="A37" s="151" t="s">
        <v>24</v>
      </c>
      <c r="B37" s="33"/>
      <c r="C37" s="33"/>
      <c r="D37" s="33"/>
      <c r="E37" s="33"/>
      <c r="F37" s="33"/>
      <c r="G37" s="33"/>
      <c r="H37" s="34"/>
      <c r="I37" s="33"/>
      <c r="J37" s="33"/>
      <c r="K37" s="33"/>
      <c r="L37" s="33"/>
      <c r="M37" s="33"/>
      <c r="N37" s="34"/>
    </row>
    <row r="38" spans="1:15">
      <c r="A38" s="50" t="s">
        <v>72</v>
      </c>
      <c r="B38" s="15">
        <v>30915827</v>
      </c>
      <c r="C38" s="15">
        <v>29440693</v>
      </c>
      <c r="D38" s="15">
        <f>+NOM!$E$65</f>
        <v>44174211.762500003</v>
      </c>
      <c r="E38" s="15">
        <f>+NOM!$E$65</f>
        <v>44174211.762500003</v>
      </c>
      <c r="F38" s="15">
        <f>+NOM!$E$65</f>
        <v>44174211.762500003</v>
      </c>
      <c r="G38" s="15">
        <f>+NOM!$E$65</f>
        <v>44174211.762500003</v>
      </c>
      <c r="H38" s="15">
        <f>+NOM!$E$65</f>
        <v>44174211.762500003</v>
      </c>
      <c r="I38" s="15">
        <f>+NOM!$E$65</f>
        <v>44174211.762500003</v>
      </c>
      <c r="J38" s="15">
        <f>+NOM!$E$65</f>
        <v>44174211.762500003</v>
      </c>
      <c r="K38" s="15">
        <f>+NOM!$E$65</f>
        <v>44174211.762500003</v>
      </c>
      <c r="L38" s="15">
        <f>+NOM!$E$65</f>
        <v>44174211.762500003</v>
      </c>
      <c r="M38" s="15">
        <f>+NOM!$E$65</f>
        <v>44174211.762500003</v>
      </c>
      <c r="N38" s="17">
        <f>SUM(B38:M38)</f>
        <v>502098637.62499994</v>
      </c>
    </row>
    <row r="39" spans="1:15">
      <c r="A39" s="50" t="s">
        <v>73</v>
      </c>
      <c r="B39" s="15">
        <v>3850264</v>
      </c>
      <c r="C39" s="15">
        <v>4164156</v>
      </c>
      <c r="D39" s="15">
        <v>3446323</v>
      </c>
      <c r="E39" s="15">
        <v>3446323</v>
      </c>
      <c r="F39" s="15">
        <v>3446323</v>
      </c>
      <c r="G39" s="15">
        <v>3446323</v>
      </c>
      <c r="H39" s="15">
        <v>3446323</v>
      </c>
      <c r="I39" s="15">
        <v>3446323</v>
      </c>
      <c r="J39" s="15">
        <v>3446323</v>
      </c>
      <c r="K39" s="15">
        <v>3446323</v>
      </c>
      <c r="L39" s="15">
        <v>3446323</v>
      </c>
      <c r="M39" s="15">
        <v>3446323</v>
      </c>
      <c r="N39" s="17">
        <f t="shared" ref="N39:N57" si="13">SUM(B39:M39)</f>
        <v>42477650</v>
      </c>
    </row>
    <row r="40" spans="1:15">
      <c r="A40" s="50" t="s">
        <v>83</v>
      </c>
      <c r="B40" s="15">
        <v>1423358</v>
      </c>
      <c r="C40" s="15">
        <v>1563926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7">
        <f t="shared" si="13"/>
        <v>2987284</v>
      </c>
    </row>
    <row r="41" spans="1:15">
      <c r="A41" s="50" t="s">
        <v>74</v>
      </c>
      <c r="B41" s="15">
        <v>2579736</v>
      </c>
      <c r="C41" s="15">
        <v>2444894</v>
      </c>
      <c r="D41" s="15">
        <f>106454*32</f>
        <v>3406528</v>
      </c>
      <c r="E41" s="15">
        <f t="shared" ref="E41:M41" si="14">106454*32</f>
        <v>3406528</v>
      </c>
      <c r="F41" s="15">
        <f t="shared" si="14"/>
        <v>3406528</v>
      </c>
      <c r="G41" s="15">
        <f t="shared" si="14"/>
        <v>3406528</v>
      </c>
      <c r="H41" s="15">
        <f t="shared" si="14"/>
        <v>3406528</v>
      </c>
      <c r="I41" s="15">
        <f t="shared" si="14"/>
        <v>3406528</v>
      </c>
      <c r="J41" s="15">
        <f t="shared" si="14"/>
        <v>3406528</v>
      </c>
      <c r="K41" s="15">
        <f t="shared" si="14"/>
        <v>3406528</v>
      </c>
      <c r="L41" s="15">
        <f t="shared" si="14"/>
        <v>3406528</v>
      </c>
      <c r="M41" s="15">
        <f t="shared" si="14"/>
        <v>3406528</v>
      </c>
      <c r="N41" s="17">
        <f t="shared" si="13"/>
        <v>39089910</v>
      </c>
    </row>
    <row r="42" spans="1:15">
      <c r="A42" s="50" t="s">
        <v>75</v>
      </c>
      <c r="B42" s="15">
        <v>3252224</v>
      </c>
      <c r="C42" s="15">
        <v>3116360</v>
      </c>
      <c r="D42" s="15">
        <f>+SUM(D38+D39+D41+D40)*8.33%</f>
        <v>4250554.3281162502</v>
      </c>
      <c r="E42" s="15">
        <f>+SUM(E38+E39+E41+E40)*8.33%</f>
        <v>4250554.3281162502</v>
      </c>
      <c r="F42" s="15">
        <f t="shared" ref="F42:M42" si="15">+SUM(F38+F39+F41+F40)*8.33%</f>
        <v>4250554.3281162502</v>
      </c>
      <c r="G42" s="15">
        <f t="shared" si="15"/>
        <v>4250554.3281162502</v>
      </c>
      <c r="H42" s="15">
        <f t="shared" si="15"/>
        <v>4250554.3281162502</v>
      </c>
      <c r="I42" s="15">
        <f t="shared" si="15"/>
        <v>4250554.3281162502</v>
      </c>
      <c r="J42" s="15">
        <f t="shared" si="15"/>
        <v>4250554.3281162502</v>
      </c>
      <c r="K42" s="15">
        <f t="shared" si="15"/>
        <v>4250554.3281162502</v>
      </c>
      <c r="L42" s="15">
        <f t="shared" si="15"/>
        <v>4250554.3281162502</v>
      </c>
      <c r="M42" s="15">
        <f t="shared" si="15"/>
        <v>4250554.3281162502</v>
      </c>
      <c r="N42" s="17">
        <f t="shared" si="13"/>
        <v>48874127.281162508</v>
      </c>
    </row>
    <row r="43" spans="1:15">
      <c r="A43" s="50" t="s">
        <v>76</v>
      </c>
      <c r="B43" s="15">
        <v>390268</v>
      </c>
      <c r="C43" s="15">
        <v>373964</v>
      </c>
      <c r="D43" s="15">
        <f>+D42*1%</f>
        <v>42505.5432811625</v>
      </c>
      <c r="E43" s="15">
        <f>+E42*1%</f>
        <v>42505.5432811625</v>
      </c>
      <c r="F43" s="15">
        <f>+F42*1%</f>
        <v>42505.5432811625</v>
      </c>
      <c r="G43" s="15">
        <f t="shared" ref="G43:M43" si="16">+G42*1%</f>
        <v>42505.5432811625</v>
      </c>
      <c r="H43" s="15">
        <f t="shared" si="16"/>
        <v>42505.5432811625</v>
      </c>
      <c r="I43" s="15">
        <f t="shared" si="16"/>
        <v>42505.5432811625</v>
      </c>
      <c r="J43" s="15">
        <f t="shared" si="16"/>
        <v>42505.5432811625</v>
      </c>
      <c r="K43" s="15">
        <f t="shared" si="16"/>
        <v>42505.5432811625</v>
      </c>
      <c r="L43" s="15">
        <f t="shared" si="16"/>
        <v>42505.5432811625</v>
      </c>
      <c r="M43" s="15">
        <f t="shared" si="16"/>
        <v>42505.5432811625</v>
      </c>
      <c r="N43" s="17">
        <f t="shared" si="13"/>
        <v>1189287.4328116246</v>
      </c>
    </row>
    <row r="44" spans="1:15">
      <c r="A44" s="50" t="s">
        <v>77</v>
      </c>
      <c r="B44" s="15">
        <v>3252224</v>
      </c>
      <c r="C44" s="15">
        <v>3116360</v>
      </c>
      <c r="D44" s="15">
        <f>+D42</f>
        <v>4250554.3281162502</v>
      </c>
      <c r="E44" s="15">
        <f t="shared" ref="E44:M44" si="17">+E42</f>
        <v>4250554.3281162502</v>
      </c>
      <c r="F44" s="15">
        <f t="shared" si="17"/>
        <v>4250554.3281162502</v>
      </c>
      <c r="G44" s="15">
        <f t="shared" si="17"/>
        <v>4250554.3281162502</v>
      </c>
      <c r="H44" s="15">
        <f t="shared" si="17"/>
        <v>4250554.3281162502</v>
      </c>
      <c r="I44" s="15">
        <f t="shared" si="17"/>
        <v>4250554.3281162502</v>
      </c>
      <c r="J44" s="15">
        <f t="shared" si="17"/>
        <v>4250554.3281162502</v>
      </c>
      <c r="K44" s="15">
        <f t="shared" si="17"/>
        <v>4250554.3281162502</v>
      </c>
      <c r="L44" s="15">
        <f t="shared" si="17"/>
        <v>4250554.3281162502</v>
      </c>
      <c r="M44" s="15">
        <f t="shared" si="17"/>
        <v>4250554.3281162502</v>
      </c>
      <c r="N44" s="17">
        <f t="shared" si="13"/>
        <v>48874127.281162508</v>
      </c>
    </row>
    <row r="45" spans="1:15">
      <c r="A45" s="50" t="s">
        <v>78</v>
      </c>
      <c r="B45" s="15">
        <v>1382303</v>
      </c>
      <c r="C45" s="15">
        <v>1345858</v>
      </c>
      <c r="D45" s="15">
        <f>+SUM($D$38+$D$39)*4.17%</f>
        <v>1985776.2995962501</v>
      </c>
      <c r="E45" s="15">
        <f t="shared" ref="E45:M45" si="18">+SUM($D$38+$D$39)*4.17%</f>
        <v>1985776.2995962501</v>
      </c>
      <c r="F45" s="15">
        <f t="shared" si="18"/>
        <v>1985776.2995962501</v>
      </c>
      <c r="G45" s="15">
        <f t="shared" si="18"/>
        <v>1985776.2995962501</v>
      </c>
      <c r="H45" s="15">
        <f t="shared" si="18"/>
        <v>1985776.2995962501</v>
      </c>
      <c r="I45" s="15">
        <f t="shared" si="18"/>
        <v>1985776.2995962501</v>
      </c>
      <c r="J45" s="15">
        <f t="shared" si="18"/>
        <v>1985776.2995962501</v>
      </c>
      <c r="K45" s="15">
        <f t="shared" si="18"/>
        <v>1985776.2995962501</v>
      </c>
      <c r="L45" s="15">
        <f t="shared" si="18"/>
        <v>1985776.2995962501</v>
      </c>
      <c r="M45" s="15">
        <f t="shared" si="18"/>
        <v>1985776.2995962501</v>
      </c>
      <c r="N45" s="17">
        <f t="shared" si="13"/>
        <v>22585923.995962501</v>
      </c>
    </row>
    <row r="46" spans="1:15">
      <c r="A46" s="50" t="s">
        <v>79</v>
      </c>
      <c r="B46" s="15">
        <v>40000</v>
      </c>
      <c r="C46" s="15">
        <v>5000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7">
        <f t="shared" si="13"/>
        <v>45000</v>
      </c>
    </row>
    <row r="47" spans="1:15">
      <c r="A47" s="50" t="s">
        <v>80</v>
      </c>
      <c r="B47" s="15">
        <v>360743</v>
      </c>
      <c r="C47" s="15">
        <v>355778</v>
      </c>
      <c r="D47" s="15">
        <f>+SUM(D38+D39)*1.044%</f>
        <v>497158.38292050001</v>
      </c>
      <c r="E47" s="15">
        <f>+SUM(E38+E39)*1.044%</f>
        <v>497158.38292050001</v>
      </c>
      <c r="F47" s="15">
        <f>+SUM(F38+F39)*1.044%</f>
        <v>497158.38292050001</v>
      </c>
      <c r="G47" s="15">
        <f t="shared" ref="G47:M47" si="19">+SUM(G38+G39)*1.044%</f>
        <v>497158.38292050001</v>
      </c>
      <c r="H47" s="15">
        <f t="shared" si="19"/>
        <v>497158.38292050001</v>
      </c>
      <c r="I47" s="15">
        <f t="shared" si="19"/>
        <v>497158.38292050001</v>
      </c>
      <c r="J47" s="15">
        <f t="shared" si="19"/>
        <v>497158.38292050001</v>
      </c>
      <c r="K47" s="15">
        <f t="shared" si="19"/>
        <v>497158.38292050001</v>
      </c>
      <c r="L47" s="15">
        <f t="shared" si="19"/>
        <v>497158.38292050001</v>
      </c>
      <c r="M47" s="15">
        <f t="shared" si="19"/>
        <v>497158.38292050001</v>
      </c>
      <c r="N47" s="17">
        <f t="shared" si="13"/>
        <v>5688104.8292049989</v>
      </c>
    </row>
    <row r="48" spans="1:15">
      <c r="A48" s="50" t="s">
        <v>81</v>
      </c>
      <c r="B48" s="15">
        <v>4400851</v>
      </c>
      <c r="C48" s="15">
        <v>4298449</v>
      </c>
      <c r="D48" s="15">
        <f>+SUM($D$38+$D$39)*12%</f>
        <v>5714464.1715000002</v>
      </c>
      <c r="E48" s="15">
        <f>+SUM(E38+E39)*12%</f>
        <v>5714464.1715000002</v>
      </c>
      <c r="F48" s="15">
        <f>+SUM(F38+F39)*12%</f>
        <v>5714464.1715000002</v>
      </c>
      <c r="G48" s="15">
        <f t="shared" ref="G48:M48" si="20">+SUM(G38+G39)*12%</f>
        <v>5714464.1715000002</v>
      </c>
      <c r="H48" s="15">
        <f t="shared" si="20"/>
        <v>5714464.1715000002</v>
      </c>
      <c r="I48" s="15">
        <f t="shared" si="20"/>
        <v>5714464.1715000002</v>
      </c>
      <c r="J48" s="15">
        <f t="shared" si="20"/>
        <v>5714464.1715000002</v>
      </c>
      <c r="K48" s="15">
        <f t="shared" si="20"/>
        <v>5714464.1715000002</v>
      </c>
      <c r="L48" s="15">
        <f t="shared" si="20"/>
        <v>5714464.1715000002</v>
      </c>
      <c r="M48" s="15">
        <f t="shared" si="20"/>
        <v>5714464.1715000002</v>
      </c>
      <c r="N48" s="17">
        <f t="shared" si="13"/>
        <v>65843941.714999989</v>
      </c>
    </row>
    <row r="49" spans="1:14">
      <c r="A49" s="50" t="s">
        <v>82</v>
      </c>
      <c r="B49" s="15">
        <v>1411630</v>
      </c>
      <c r="C49" s="15">
        <v>1390650</v>
      </c>
      <c r="D49" s="15">
        <f>+SUM($D$38+$D$39)*4%</f>
        <v>1904821.3905000002</v>
      </c>
      <c r="E49" s="15">
        <f>+SUM(E38+E39)*4%</f>
        <v>1904821.3905000002</v>
      </c>
      <c r="F49" s="15">
        <f>+SUM(F38+F39)*4%</f>
        <v>1904821.3905000002</v>
      </c>
      <c r="G49" s="15">
        <f t="shared" ref="G49:M49" si="21">+SUM(G38+G39)*4%</f>
        <v>1904821.3905000002</v>
      </c>
      <c r="H49" s="15">
        <f t="shared" si="21"/>
        <v>1904821.3905000002</v>
      </c>
      <c r="I49" s="15">
        <f t="shared" si="21"/>
        <v>1904821.3905000002</v>
      </c>
      <c r="J49" s="15">
        <f t="shared" si="21"/>
        <v>1904821.3905000002</v>
      </c>
      <c r="K49" s="15">
        <f t="shared" si="21"/>
        <v>1904821.3905000002</v>
      </c>
      <c r="L49" s="15">
        <f t="shared" si="21"/>
        <v>1904821.3905000002</v>
      </c>
      <c r="M49" s="15">
        <f t="shared" si="21"/>
        <v>1904821.3905000002</v>
      </c>
      <c r="N49" s="17">
        <f t="shared" si="13"/>
        <v>21850493.905000001</v>
      </c>
    </row>
    <row r="50" spans="1:14">
      <c r="A50" s="50" t="s">
        <v>84</v>
      </c>
      <c r="B50" s="15"/>
      <c r="C50" s="15"/>
      <c r="D50" s="15"/>
      <c r="E50" s="15">
        <v>3557691.2052500001</v>
      </c>
      <c r="F50" s="15"/>
      <c r="G50" s="15">
        <f>+D50</f>
        <v>0</v>
      </c>
      <c r="H50" s="16"/>
      <c r="I50" s="15">
        <v>3557691.2052500001</v>
      </c>
      <c r="J50" s="15">
        <f>+G50</f>
        <v>0</v>
      </c>
      <c r="K50" s="15"/>
      <c r="L50" s="15"/>
      <c r="M50" s="15">
        <v>3557691.2052500001</v>
      </c>
      <c r="N50" s="17">
        <f t="shared" si="13"/>
        <v>10673073.61575</v>
      </c>
    </row>
    <row r="51" spans="1:14">
      <c r="A51" s="50" t="s">
        <v>95</v>
      </c>
      <c r="B51" s="15"/>
      <c r="C51" s="15"/>
      <c r="D51" s="15"/>
      <c r="E51" s="15"/>
      <c r="F51" s="15"/>
      <c r="G51" s="15"/>
      <c r="H51" s="16"/>
      <c r="I51" s="15"/>
      <c r="J51" s="15"/>
      <c r="K51" s="15"/>
      <c r="L51" s="15"/>
      <c r="M51" s="15"/>
      <c r="N51" s="17">
        <f t="shared" si="13"/>
        <v>0</v>
      </c>
    </row>
    <row r="52" spans="1:14">
      <c r="A52" s="50" t="s">
        <v>96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7">
        <f t="shared" si="13"/>
        <v>0</v>
      </c>
    </row>
    <row r="53" spans="1:14">
      <c r="A53" s="50" t="s">
        <v>97</v>
      </c>
      <c r="B53" s="15"/>
      <c r="C53" s="15">
        <v>375651</v>
      </c>
      <c r="D53" s="15">
        <f>+D54+D55+D56</f>
        <v>457380</v>
      </c>
      <c r="E53" s="15">
        <f t="shared" ref="E53:M53" si="22">+E54+E55+E56</f>
        <v>502380</v>
      </c>
      <c r="F53" s="15">
        <f t="shared" si="22"/>
        <v>457380</v>
      </c>
      <c r="G53" s="15">
        <f t="shared" si="22"/>
        <v>502380</v>
      </c>
      <c r="H53" s="15">
        <f t="shared" si="22"/>
        <v>457380</v>
      </c>
      <c r="I53" s="15">
        <f t="shared" si="22"/>
        <v>502380</v>
      </c>
      <c r="J53" s="15">
        <f t="shared" si="22"/>
        <v>457380</v>
      </c>
      <c r="K53" s="15">
        <f t="shared" si="22"/>
        <v>502380</v>
      </c>
      <c r="L53" s="15">
        <f t="shared" si="22"/>
        <v>457380</v>
      </c>
      <c r="M53" s="15">
        <f t="shared" si="22"/>
        <v>502380</v>
      </c>
      <c r="N53" s="17">
        <f t="shared" si="13"/>
        <v>5174451</v>
      </c>
    </row>
    <row r="54" spans="1:14">
      <c r="A54" s="14" t="s">
        <v>275</v>
      </c>
      <c r="B54" s="15"/>
      <c r="C54" s="15"/>
      <c r="D54" s="15">
        <v>457380</v>
      </c>
      <c r="E54" s="15">
        <v>457380</v>
      </c>
      <c r="F54" s="15">
        <v>457380</v>
      </c>
      <c r="G54" s="15">
        <v>457380</v>
      </c>
      <c r="H54" s="15">
        <v>457380</v>
      </c>
      <c r="I54" s="15">
        <v>457380</v>
      </c>
      <c r="J54" s="15">
        <v>457380</v>
      </c>
      <c r="K54" s="15">
        <v>457380</v>
      </c>
      <c r="L54" s="15">
        <v>457380</v>
      </c>
      <c r="M54" s="15">
        <v>457380</v>
      </c>
      <c r="N54" s="17">
        <f t="shared" si="13"/>
        <v>4573800</v>
      </c>
    </row>
    <row r="55" spans="1:14">
      <c r="A55" s="14" t="s">
        <v>270</v>
      </c>
      <c r="B55" s="15"/>
      <c r="C55" s="15"/>
      <c r="D55" s="15"/>
      <c r="E55" s="15">
        <v>45000</v>
      </c>
      <c r="F55" s="15"/>
      <c r="G55" s="15">
        <v>45000</v>
      </c>
      <c r="H55" s="16"/>
      <c r="I55" s="15">
        <v>45000</v>
      </c>
      <c r="J55" s="15"/>
      <c r="K55" s="15">
        <v>45000</v>
      </c>
      <c r="L55" s="15"/>
      <c r="M55" s="15">
        <v>45000</v>
      </c>
      <c r="N55" s="17">
        <f t="shared" si="13"/>
        <v>225000</v>
      </c>
    </row>
    <row r="56" spans="1:14">
      <c r="A56" s="50"/>
      <c r="B56" s="15"/>
      <c r="C56" s="15"/>
      <c r="D56" s="15"/>
      <c r="E56" s="15"/>
      <c r="F56" s="15"/>
      <c r="G56" s="15"/>
      <c r="H56" s="16"/>
      <c r="I56" s="15"/>
      <c r="J56" s="15"/>
      <c r="K56" s="15"/>
      <c r="L56" s="15"/>
      <c r="M56" s="15"/>
      <c r="N56" s="17"/>
    </row>
    <row r="57" spans="1:14" ht="13.5" thickBot="1">
      <c r="A57" s="14"/>
      <c r="B57" s="15"/>
      <c r="C57" s="15"/>
      <c r="D57" s="15"/>
      <c r="E57" s="15"/>
      <c r="F57" s="15"/>
      <c r="G57" s="15"/>
      <c r="H57" s="16"/>
      <c r="I57" s="15"/>
      <c r="J57" s="15"/>
      <c r="K57" s="15"/>
      <c r="L57" s="15"/>
      <c r="M57" s="15"/>
      <c r="N57" s="17">
        <f t="shared" si="13"/>
        <v>0</v>
      </c>
    </row>
    <row r="58" spans="1:14" s="1" customFormat="1" ht="13.5" thickBot="1">
      <c r="A58" s="150" t="s">
        <v>25</v>
      </c>
      <c r="B58" s="152">
        <f>SUM(B38:B57)</f>
        <v>53259428</v>
      </c>
      <c r="C58" s="152">
        <f>SUM(C38:C57)</f>
        <v>51991739</v>
      </c>
      <c r="D58" s="152">
        <f>SUM(D38:D57)-D53</f>
        <v>70130277.206530422</v>
      </c>
      <c r="E58" s="152">
        <f t="shared" ref="E58:M58" si="23">SUM(E38:E57)</f>
        <v>74235348.411780417</v>
      </c>
      <c r="F58" s="152">
        <f t="shared" si="23"/>
        <v>70587657.206530422</v>
      </c>
      <c r="G58" s="152">
        <f t="shared" si="23"/>
        <v>70677657.206530422</v>
      </c>
      <c r="H58" s="152">
        <f t="shared" si="23"/>
        <v>70587657.206530422</v>
      </c>
      <c r="I58" s="152">
        <f t="shared" si="23"/>
        <v>74235348.411780417</v>
      </c>
      <c r="J58" s="152">
        <f t="shared" si="23"/>
        <v>70587657.206530422</v>
      </c>
      <c r="K58" s="152">
        <f t="shared" si="23"/>
        <v>70677657.206530422</v>
      </c>
      <c r="L58" s="152">
        <f t="shared" si="23"/>
        <v>70587657.206530422</v>
      </c>
      <c r="M58" s="152">
        <f t="shared" si="23"/>
        <v>74235348.411780417</v>
      </c>
      <c r="N58" s="152">
        <f>SUM(N38:N57)</f>
        <v>822250812.68105412</v>
      </c>
    </row>
    <row r="59" spans="1:14" s="1" customFormat="1" ht="13.5" thickBot="1">
      <c r="A59" s="21"/>
      <c r="B59" s="22">
        <f t="shared" ref="B59:N59" si="24">+B58/B7</f>
        <v>0.21995443160965303</v>
      </c>
      <c r="C59" s="22">
        <f t="shared" si="24"/>
        <v>0.21187270645737191</v>
      </c>
      <c r="D59" s="22">
        <f t="shared" si="24"/>
        <v>0.25050667662146764</v>
      </c>
      <c r="E59" s="22">
        <f t="shared" si="24"/>
        <v>0.27171061852268463</v>
      </c>
      <c r="F59" s="22">
        <f t="shared" si="24"/>
        <v>0.2520946838840552</v>
      </c>
      <c r="G59" s="22">
        <f t="shared" si="24"/>
        <v>0.25868902572932756</v>
      </c>
      <c r="H59" s="22">
        <f t="shared" si="24"/>
        <v>0.25075139464480095</v>
      </c>
      <c r="I59" s="22">
        <f t="shared" si="24"/>
        <v>0.26512194102341063</v>
      </c>
      <c r="J59" s="22">
        <f t="shared" si="24"/>
        <v>0.27190328991936252</v>
      </c>
      <c r="K59" s="22">
        <f t="shared" si="24"/>
        <v>0.25542644143612558</v>
      </c>
      <c r="L59" s="22">
        <f t="shared" si="24"/>
        <v>0.27190328991936252</v>
      </c>
      <c r="M59" s="22">
        <f t="shared" si="24"/>
        <v>0.26828380598671009</v>
      </c>
      <c r="N59" s="22">
        <f t="shared" si="24"/>
        <v>0.25472080662523827</v>
      </c>
    </row>
    <row r="60" spans="1:14" s="35" customFormat="1" ht="13.5" thickBot="1">
      <c r="A60" s="54" t="s">
        <v>26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6"/>
      <c r="N60" s="34"/>
    </row>
    <row r="61" spans="1:14">
      <c r="A61" s="50" t="s">
        <v>72</v>
      </c>
      <c r="B61" s="15">
        <v>9663801</v>
      </c>
      <c r="C61" s="15">
        <v>9776566</v>
      </c>
      <c r="D61" s="15">
        <v>7833428.4325000001</v>
      </c>
      <c r="E61" s="15">
        <v>7833428.4325000001</v>
      </c>
      <c r="F61" s="15">
        <v>7833428.4325000001</v>
      </c>
      <c r="G61" s="15">
        <v>7833428.4325000001</v>
      </c>
      <c r="H61" s="15">
        <v>7833428.4325000001</v>
      </c>
      <c r="I61" s="15">
        <v>7833428.4325000001</v>
      </c>
      <c r="J61" s="15">
        <v>7833428.4325000001</v>
      </c>
      <c r="K61" s="15">
        <v>7833428.4325000001</v>
      </c>
      <c r="L61" s="15">
        <v>7833428.4325000001</v>
      </c>
      <c r="M61" s="15">
        <v>7833428.4325000001</v>
      </c>
      <c r="N61" s="17">
        <f t="shared" ref="N61:N80" si="25">SUM(B61:M61)</f>
        <v>97774651.325000003</v>
      </c>
    </row>
    <row r="62" spans="1:14">
      <c r="A62" s="50" t="s">
        <v>73</v>
      </c>
      <c r="B62" s="15">
        <v>138125</v>
      </c>
      <c r="C62" s="15"/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7">
        <f t="shared" si="25"/>
        <v>138125</v>
      </c>
    </row>
    <row r="63" spans="1:14">
      <c r="A63" s="50" t="s">
        <v>83</v>
      </c>
      <c r="B63" s="15">
        <v>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7">
        <f t="shared" si="25"/>
        <v>0</v>
      </c>
    </row>
    <row r="64" spans="1:14">
      <c r="A64" s="50" t="s">
        <v>74</v>
      </c>
      <c r="B64" s="15">
        <v>180972</v>
      </c>
      <c r="C64" s="15">
        <v>212908</v>
      </c>
      <c r="D64" s="15">
        <f>106454*2</f>
        <v>212908</v>
      </c>
      <c r="E64" s="15">
        <f t="shared" ref="E64:M64" si="26">106454*2</f>
        <v>212908</v>
      </c>
      <c r="F64" s="15">
        <f t="shared" si="26"/>
        <v>212908</v>
      </c>
      <c r="G64" s="15">
        <f t="shared" si="26"/>
        <v>212908</v>
      </c>
      <c r="H64" s="15">
        <f t="shared" si="26"/>
        <v>212908</v>
      </c>
      <c r="I64" s="15">
        <f t="shared" si="26"/>
        <v>212908</v>
      </c>
      <c r="J64" s="15">
        <f t="shared" si="26"/>
        <v>212908</v>
      </c>
      <c r="K64" s="15">
        <f t="shared" si="26"/>
        <v>212908</v>
      </c>
      <c r="L64" s="15">
        <f t="shared" si="26"/>
        <v>212908</v>
      </c>
      <c r="M64" s="15">
        <f t="shared" si="26"/>
        <v>212908</v>
      </c>
      <c r="N64" s="17">
        <f t="shared" si="25"/>
        <v>2522960</v>
      </c>
    </row>
    <row r="65" spans="1:14">
      <c r="A65" s="50" t="s">
        <v>75</v>
      </c>
      <c r="B65" s="15">
        <v>803623</v>
      </c>
      <c r="C65" s="15">
        <v>832456</v>
      </c>
      <c r="D65" s="15">
        <f>+SUM(D61+D62+D63+D64)*8.33%</f>
        <v>670259.82482724998</v>
      </c>
      <c r="E65" s="15">
        <f t="shared" ref="E65:M65" si="27">+SUM(E61+E62+E63+E64)*8.33%</f>
        <v>670259.82482724998</v>
      </c>
      <c r="F65" s="15">
        <f t="shared" si="27"/>
        <v>670259.82482724998</v>
      </c>
      <c r="G65" s="15">
        <f t="shared" si="27"/>
        <v>670259.82482724998</v>
      </c>
      <c r="H65" s="15">
        <f t="shared" si="27"/>
        <v>670259.82482724998</v>
      </c>
      <c r="I65" s="15">
        <f t="shared" si="27"/>
        <v>670259.82482724998</v>
      </c>
      <c r="J65" s="15">
        <f t="shared" si="27"/>
        <v>670259.82482724998</v>
      </c>
      <c r="K65" s="15">
        <f t="shared" si="27"/>
        <v>670259.82482724998</v>
      </c>
      <c r="L65" s="15">
        <f t="shared" si="27"/>
        <v>670259.82482724998</v>
      </c>
      <c r="M65" s="15">
        <f t="shared" si="27"/>
        <v>670259.82482724998</v>
      </c>
      <c r="N65" s="17">
        <f t="shared" si="25"/>
        <v>8338677.2482725009</v>
      </c>
    </row>
    <row r="66" spans="1:14">
      <c r="A66" s="50" t="s">
        <v>76</v>
      </c>
      <c r="B66" s="15">
        <v>96435</v>
      </c>
      <c r="C66" s="15">
        <v>99895</v>
      </c>
      <c r="D66" s="15">
        <f>+D65*12%</f>
        <v>80431.17897927</v>
      </c>
      <c r="E66" s="15">
        <f t="shared" ref="E66:M66" si="28">+E65*12%</f>
        <v>80431.17897927</v>
      </c>
      <c r="F66" s="15">
        <f t="shared" si="28"/>
        <v>80431.17897927</v>
      </c>
      <c r="G66" s="15">
        <f t="shared" si="28"/>
        <v>80431.17897927</v>
      </c>
      <c r="H66" s="15">
        <f t="shared" si="28"/>
        <v>80431.17897927</v>
      </c>
      <c r="I66" s="15">
        <f t="shared" si="28"/>
        <v>80431.17897927</v>
      </c>
      <c r="J66" s="15">
        <f t="shared" si="28"/>
        <v>80431.17897927</v>
      </c>
      <c r="K66" s="15">
        <f t="shared" si="28"/>
        <v>80431.17897927</v>
      </c>
      <c r="L66" s="15">
        <f t="shared" si="28"/>
        <v>80431.17897927</v>
      </c>
      <c r="M66" s="15">
        <f t="shared" si="28"/>
        <v>80431.17897927</v>
      </c>
      <c r="N66" s="17">
        <f t="shared" si="25"/>
        <v>1000641.7897927002</v>
      </c>
    </row>
    <row r="67" spans="1:14">
      <c r="A67" s="50" t="s">
        <v>77</v>
      </c>
      <c r="B67" s="15">
        <v>803623</v>
      </c>
      <c r="C67" s="15">
        <v>832456</v>
      </c>
      <c r="D67" s="15">
        <f>+D65</f>
        <v>670259.82482724998</v>
      </c>
      <c r="E67" s="15">
        <f t="shared" ref="E67:M67" si="29">+E65</f>
        <v>670259.82482724998</v>
      </c>
      <c r="F67" s="15">
        <f t="shared" si="29"/>
        <v>670259.82482724998</v>
      </c>
      <c r="G67" s="15">
        <f t="shared" si="29"/>
        <v>670259.82482724998</v>
      </c>
      <c r="H67" s="15">
        <f t="shared" si="29"/>
        <v>670259.82482724998</v>
      </c>
      <c r="I67" s="15">
        <f t="shared" si="29"/>
        <v>670259.82482724998</v>
      </c>
      <c r="J67" s="15">
        <f t="shared" si="29"/>
        <v>670259.82482724998</v>
      </c>
      <c r="K67" s="15">
        <f t="shared" si="29"/>
        <v>670259.82482724998</v>
      </c>
      <c r="L67" s="15">
        <f t="shared" si="29"/>
        <v>670259.82482724998</v>
      </c>
      <c r="M67" s="15">
        <f t="shared" si="29"/>
        <v>670259.82482724998</v>
      </c>
      <c r="N67" s="17">
        <f t="shared" si="25"/>
        <v>8338677.2482725009</v>
      </c>
    </row>
    <row r="68" spans="1:14">
      <c r="A68" s="50" t="s">
        <v>78</v>
      </c>
      <c r="B68" s="15">
        <v>395159</v>
      </c>
      <c r="C68" s="15">
        <v>407357</v>
      </c>
      <c r="D68" s="15">
        <f>+SUM(D61+D62)*4.17%</f>
        <v>326653.96563525003</v>
      </c>
      <c r="E68" s="15">
        <f t="shared" ref="E68:M68" si="30">+SUM(E61+E62)*4.17%</f>
        <v>326653.96563525003</v>
      </c>
      <c r="F68" s="15">
        <f t="shared" si="30"/>
        <v>326653.96563525003</v>
      </c>
      <c r="G68" s="15">
        <f t="shared" si="30"/>
        <v>326653.96563525003</v>
      </c>
      <c r="H68" s="15">
        <f t="shared" si="30"/>
        <v>326653.96563525003</v>
      </c>
      <c r="I68" s="15">
        <f t="shared" si="30"/>
        <v>326653.96563525003</v>
      </c>
      <c r="J68" s="15">
        <f t="shared" si="30"/>
        <v>326653.96563525003</v>
      </c>
      <c r="K68" s="15">
        <f t="shared" si="30"/>
        <v>326653.96563525003</v>
      </c>
      <c r="L68" s="15">
        <f t="shared" si="30"/>
        <v>326653.96563525003</v>
      </c>
      <c r="M68" s="15">
        <f t="shared" si="30"/>
        <v>326653.96563525003</v>
      </c>
      <c r="N68" s="17">
        <f t="shared" si="25"/>
        <v>4069055.6563524995</v>
      </c>
    </row>
    <row r="69" spans="1:14">
      <c r="A69" s="50" t="s">
        <v>79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7">
        <f t="shared" si="25"/>
        <v>0</v>
      </c>
    </row>
    <row r="70" spans="1:14">
      <c r="A70" s="50" t="s">
        <v>80</v>
      </c>
      <c r="B70" s="15">
        <v>101516</v>
      </c>
      <c r="C70" s="15">
        <v>102067</v>
      </c>
      <c r="D70" s="15">
        <f>+SUM(D61+D62)*1.044%</f>
        <v>81780.9928353</v>
      </c>
      <c r="E70" s="15">
        <f t="shared" ref="E70:M70" si="31">+SUM(E61+E62)*1.044%</f>
        <v>81780.9928353</v>
      </c>
      <c r="F70" s="15">
        <f t="shared" si="31"/>
        <v>81780.9928353</v>
      </c>
      <c r="G70" s="15">
        <f t="shared" si="31"/>
        <v>81780.9928353</v>
      </c>
      <c r="H70" s="15">
        <f t="shared" si="31"/>
        <v>81780.9928353</v>
      </c>
      <c r="I70" s="15">
        <f t="shared" si="31"/>
        <v>81780.9928353</v>
      </c>
      <c r="J70" s="15">
        <f t="shared" si="31"/>
        <v>81780.9928353</v>
      </c>
      <c r="K70" s="15">
        <f t="shared" si="31"/>
        <v>81780.9928353</v>
      </c>
      <c r="L70" s="15">
        <f t="shared" si="31"/>
        <v>81780.9928353</v>
      </c>
      <c r="M70" s="15">
        <f t="shared" si="31"/>
        <v>81780.9928353</v>
      </c>
      <c r="N70" s="17">
        <f t="shared" si="25"/>
        <v>1021392.9283530002</v>
      </c>
    </row>
    <row r="71" spans="1:14">
      <c r="A71" s="50" t="s">
        <v>81</v>
      </c>
      <c r="B71" s="15">
        <v>1233129</v>
      </c>
      <c r="C71" s="15">
        <v>1173188</v>
      </c>
      <c r="D71" s="145">
        <f>+SUM(D61+D62)*12%</f>
        <v>940011.41189999995</v>
      </c>
      <c r="E71" s="145">
        <f t="shared" ref="E71:M71" si="32">+SUM(E61+E62)*12%</f>
        <v>940011.41189999995</v>
      </c>
      <c r="F71" s="145">
        <f t="shared" si="32"/>
        <v>940011.41189999995</v>
      </c>
      <c r="G71" s="145">
        <f t="shared" si="32"/>
        <v>940011.41189999995</v>
      </c>
      <c r="H71" s="145">
        <f t="shared" si="32"/>
        <v>940011.41189999995</v>
      </c>
      <c r="I71" s="145">
        <f t="shared" si="32"/>
        <v>940011.41189999995</v>
      </c>
      <c r="J71" s="145">
        <f t="shared" si="32"/>
        <v>940011.41189999995</v>
      </c>
      <c r="K71" s="145">
        <f t="shared" si="32"/>
        <v>940011.41189999995</v>
      </c>
      <c r="L71" s="145">
        <f t="shared" si="32"/>
        <v>940011.41189999995</v>
      </c>
      <c r="M71" s="145">
        <f t="shared" si="32"/>
        <v>940011.41189999995</v>
      </c>
      <c r="N71" s="17">
        <f t="shared" si="25"/>
        <v>11806431.119000001</v>
      </c>
    </row>
    <row r="72" spans="1:14">
      <c r="A72" s="50" t="s">
        <v>82</v>
      </c>
      <c r="B72" s="15">
        <v>413060</v>
      </c>
      <c r="C72" s="15">
        <v>391063</v>
      </c>
      <c r="D72" s="144">
        <f>SUM(D61+D62+D63)*4%</f>
        <v>313337.1373</v>
      </c>
      <c r="E72" s="144">
        <f t="shared" ref="E72:M72" si="33">SUM(E61+E62+E63)*4%</f>
        <v>313337.1373</v>
      </c>
      <c r="F72" s="144">
        <f t="shared" si="33"/>
        <v>313337.1373</v>
      </c>
      <c r="G72" s="144">
        <f t="shared" si="33"/>
        <v>313337.1373</v>
      </c>
      <c r="H72" s="144">
        <f t="shared" si="33"/>
        <v>313337.1373</v>
      </c>
      <c r="I72" s="144">
        <f t="shared" si="33"/>
        <v>313337.1373</v>
      </c>
      <c r="J72" s="144">
        <f t="shared" si="33"/>
        <v>313337.1373</v>
      </c>
      <c r="K72" s="144">
        <f t="shared" si="33"/>
        <v>313337.1373</v>
      </c>
      <c r="L72" s="144">
        <f t="shared" si="33"/>
        <v>313337.1373</v>
      </c>
      <c r="M72" s="144">
        <f t="shared" si="33"/>
        <v>313337.1373</v>
      </c>
      <c r="N72" s="17">
        <f t="shared" si="25"/>
        <v>3937494.3730000006</v>
      </c>
    </row>
    <row r="73" spans="1:14">
      <c r="A73" s="50" t="s">
        <v>84</v>
      </c>
      <c r="B73" s="15"/>
      <c r="C73" s="15"/>
      <c r="D73" s="15"/>
      <c r="E73" s="15">
        <v>209253.79474999997</v>
      </c>
      <c r="F73" s="15"/>
      <c r="G73" s="15"/>
      <c r="H73" s="16"/>
      <c r="I73" s="15">
        <v>209253.79474999997</v>
      </c>
      <c r="J73" s="15"/>
      <c r="K73" s="15"/>
      <c r="L73" s="15"/>
      <c r="M73" s="15">
        <v>209253.79474999997</v>
      </c>
      <c r="N73" s="17">
        <f t="shared" si="25"/>
        <v>627761.38424999989</v>
      </c>
    </row>
    <row r="74" spans="1:14">
      <c r="A74" s="50" t="s">
        <v>95</v>
      </c>
      <c r="B74" s="15"/>
      <c r="C74" s="15"/>
      <c r="D74" s="15"/>
      <c r="E74" s="15"/>
      <c r="F74" s="15"/>
      <c r="G74" s="15"/>
      <c r="H74" s="16"/>
      <c r="I74" s="15"/>
      <c r="J74" s="15"/>
      <c r="K74" s="15"/>
      <c r="L74" s="15"/>
      <c r="M74" s="15"/>
      <c r="N74" s="17">
        <f t="shared" si="25"/>
        <v>0</v>
      </c>
    </row>
    <row r="75" spans="1:14">
      <c r="A75" s="50" t="s">
        <v>96</v>
      </c>
      <c r="B75" s="15"/>
      <c r="C75" s="15"/>
      <c r="D75" s="15"/>
      <c r="E75" s="15"/>
      <c r="F75" s="15"/>
      <c r="G75" s="15"/>
      <c r="H75" s="16"/>
      <c r="I75" s="15"/>
      <c r="J75" s="15"/>
      <c r="K75" s="15"/>
      <c r="L75" s="15"/>
      <c r="M75" s="15"/>
      <c r="N75" s="17">
        <f t="shared" si="25"/>
        <v>0</v>
      </c>
    </row>
    <row r="76" spans="1:14">
      <c r="A76" s="50" t="s">
        <v>97</v>
      </c>
      <c r="B76" s="15">
        <v>14566</v>
      </c>
      <c r="C76" s="15">
        <v>71400</v>
      </c>
      <c r="D76" s="15">
        <f>+D77+D78+D79</f>
        <v>4620</v>
      </c>
      <c r="E76" s="15">
        <f t="shared" ref="E76" si="34">+E77+E78+E79</f>
        <v>5120</v>
      </c>
      <c r="F76" s="15">
        <f t="shared" ref="F76" si="35">+F77+F78+F79</f>
        <v>4620</v>
      </c>
      <c r="G76" s="15">
        <f t="shared" ref="G76" si="36">+G77+G78+G79</f>
        <v>5120</v>
      </c>
      <c r="H76" s="15">
        <f t="shared" ref="H76" si="37">+H77+H78+H79</f>
        <v>4620</v>
      </c>
      <c r="I76" s="15">
        <f t="shared" ref="I76" si="38">+I77+I78+I79</f>
        <v>5120</v>
      </c>
      <c r="J76" s="15">
        <f t="shared" ref="J76" si="39">+J77+J78+J79</f>
        <v>4620</v>
      </c>
      <c r="K76" s="15">
        <f t="shared" ref="K76" si="40">+K77+K78+K79</f>
        <v>5120</v>
      </c>
      <c r="L76" s="15">
        <f t="shared" ref="L76" si="41">+L77+L78+L79</f>
        <v>4620</v>
      </c>
      <c r="M76" s="15">
        <f t="shared" ref="M76" si="42">+M77+M78+M79</f>
        <v>5120</v>
      </c>
      <c r="N76" s="17">
        <f t="shared" si="25"/>
        <v>134666</v>
      </c>
    </row>
    <row r="77" spans="1:14">
      <c r="A77" s="14" t="s">
        <v>271</v>
      </c>
      <c r="B77" s="15"/>
      <c r="C77" s="15"/>
      <c r="D77" s="15">
        <v>4620</v>
      </c>
      <c r="E77" s="15">
        <v>4620</v>
      </c>
      <c r="F77" s="15">
        <v>4620</v>
      </c>
      <c r="G77" s="15">
        <v>4620</v>
      </c>
      <c r="H77" s="15">
        <v>4620</v>
      </c>
      <c r="I77" s="15">
        <v>4620</v>
      </c>
      <c r="J77" s="15">
        <v>4620</v>
      </c>
      <c r="K77" s="15">
        <v>4620</v>
      </c>
      <c r="L77" s="15">
        <v>4620</v>
      </c>
      <c r="M77" s="15">
        <v>4620</v>
      </c>
      <c r="N77" s="17"/>
    </row>
    <row r="78" spans="1:14">
      <c r="A78" s="14" t="s">
        <v>270</v>
      </c>
      <c r="B78" s="15"/>
      <c r="C78" s="15"/>
      <c r="D78" s="15">
        <v>0</v>
      </c>
      <c r="E78" s="15">
        <v>500</v>
      </c>
      <c r="F78" s="15">
        <v>0</v>
      </c>
      <c r="G78" s="15">
        <v>500</v>
      </c>
      <c r="H78" s="15">
        <v>0</v>
      </c>
      <c r="I78" s="15">
        <v>500</v>
      </c>
      <c r="J78" s="15">
        <v>0</v>
      </c>
      <c r="K78" s="15">
        <v>500</v>
      </c>
      <c r="L78" s="15">
        <v>0</v>
      </c>
      <c r="M78" s="15">
        <v>500</v>
      </c>
      <c r="N78" s="17"/>
    </row>
    <row r="79" spans="1:14">
      <c r="A79" s="50"/>
      <c r="B79" s="15"/>
      <c r="C79" s="15"/>
      <c r="D79" s="15"/>
      <c r="E79" s="15"/>
      <c r="F79" s="15"/>
      <c r="G79" s="15"/>
      <c r="H79" s="16"/>
      <c r="I79" s="15"/>
      <c r="J79" s="15"/>
      <c r="K79" s="15"/>
      <c r="L79" s="15"/>
      <c r="M79" s="15"/>
      <c r="N79" s="17">
        <f t="shared" si="25"/>
        <v>0</v>
      </c>
    </row>
    <row r="80" spans="1:14" ht="13.5" thickBot="1">
      <c r="A80" s="14"/>
      <c r="B80" s="15"/>
      <c r="C80" s="15"/>
      <c r="D80" s="15"/>
      <c r="E80" s="15"/>
      <c r="F80" s="15"/>
      <c r="G80" s="15"/>
      <c r="H80" s="16"/>
      <c r="I80" s="15"/>
      <c r="J80" s="15"/>
      <c r="K80" s="15"/>
      <c r="L80" s="15"/>
      <c r="M80" s="15"/>
      <c r="N80" s="17">
        <f t="shared" si="25"/>
        <v>0</v>
      </c>
    </row>
    <row r="81" spans="1:14" s="1" customFormat="1" ht="13.5" thickBot="1">
      <c r="A81" s="53" t="s">
        <v>27</v>
      </c>
      <c r="B81" s="142">
        <f t="shared" ref="B81:N81" si="43">SUM(B61:B80)</f>
        <v>13844009</v>
      </c>
      <c r="C81" s="142">
        <f>SUM(C61:C80)</f>
        <v>13899356</v>
      </c>
      <c r="D81" s="142">
        <f>SUM(D61:D80)-D76</f>
        <v>11133690.768804319</v>
      </c>
      <c r="E81" s="142">
        <f t="shared" si="43"/>
        <v>11348564.563554319</v>
      </c>
      <c r="F81" s="142">
        <f t="shared" si="43"/>
        <v>11138310.768804319</v>
      </c>
      <c r="G81" s="142">
        <f t="shared" si="43"/>
        <v>11139310.768804319</v>
      </c>
      <c r="H81" s="143">
        <f t="shared" si="43"/>
        <v>11138310.768804319</v>
      </c>
      <c r="I81" s="142">
        <f t="shared" si="43"/>
        <v>11348564.563554319</v>
      </c>
      <c r="J81" s="142">
        <f t="shared" si="43"/>
        <v>11138310.768804319</v>
      </c>
      <c r="K81" s="142">
        <f t="shared" si="43"/>
        <v>11139310.768804319</v>
      </c>
      <c r="L81" s="142">
        <f t="shared" si="43"/>
        <v>11138310.768804319</v>
      </c>
      <c r="M81" s="142">
        <f t="shared" si="43"/>
        <v>11348564.563554319</v>
      </c>
      <c r="N81" s="142">
        <f t="shared" si="43"/>
        <v>139710534.07229316</v>
      </c>
    </row>
    <row r="82" spans="1:14" s="1" customFormat="1" ht="13.5" thickBot="1">
      <c r="A82" s="21"/>
      <c r="B82" s="22">
        <f t="shared" ref="B82:N82" si="44">+B81/B7</f>
        <v>5.7173936054925732E-2</v>
      </c>
      <c r="C82" s="22">
        <f t="shared" si="44"/>
        <v>5.6641578650302712E-2</v>
      </c>
      <c r="D82" s="22">
        <f t="shared" si="44"/>
        <v>3.9769754008110066E-2</v>
      </c>
      <c r="E82" s="22">
        <f t="shared" si="44"/>
        <v>4.1537159357073077E-2</v>
      </c>
      <c r="F82" s="22">
        <f t="shared" si="44"/>
        <v>3.9779035647103458E-2</v>
      </c>
      <c r="G82" s="22">
        <f t="shared" si="44"/>
        <v>4.0771264413274055E-2</v>
      </c>
      <c r="H82" s="22">
        <f t="shared" si="44"/>
        <v>3.9567072627061182E-2</v>
      </c>
      <c r="I82" s="22">
        <f t="shared" si="44"/>
        <v>4.0529929868848791E-2</v>
      </c>
      <c r="J82" s="22">
        <f t="shared" si="44"/>
        <v>4.2904715385595385E-2</v>
      </c>
      <c r="K82" s="22">
        <f t="shared" si="44"/>
        <v>4.0257057494315247E-2</v>
      </c>
      <c r="L82" s="22">
        <f t="shared" si="44"/>
        <v>4.2904715385595385E-2</v>
      </c>
      <c r="M82" s="22">
        <f t="shared" si="44"/>
        <v>4.1013292976114141E-2</v>
      </c>
      <c r="N82" s="22">
        <f t="shared" si="44"/>
        <v>4.3280200376939477E-2</v>
      </c>
    </row>
    <row r="83" spans="1:14" s="1" customFormat="1" ht="13.5" thickBot="1">
      <c r="A83" s="11" t="s">
        <v>28</v>
      </c>
      <c r="B83" s="19">
        <f>+B58+B81</f>
        <v>67103437</v>
      </c>
      <c r="C83" s="19">
        <f>+C58+C81</f>
        <v>65891095</v>
      </c>
      <c r="D83" s="19">
        <f>+D58+D81</f>
        <v>81263967.975334734</v>
      </c>
      <c r="E83" s="19">
        <f t="shared" ref="E83:N83" si="45">+E58+E81</f>
        <v>85583912.975334734</v>
      </c>
      <c r="F83" s="19">
        <f t="shared" si="45"/>
        <v>81725967.975334734</v>
      </c>
      <c r="G83" s="19">
        <f t="shared" si="45"/>
        <v>81816967.975334734</v>
      </c>
      <c r="H83" s="20">
        <f t="shared" si="45"/>
        <v>81725967.975334734</v>
      </c>
      <c r="I83" s="19">
        <f t="shared" si="45"/>
        <v>85583912.975334734</v>
      </c>
      <c r="J83" s="19">
        <f t="shared" si="45"/>
        <v>81725967.975334734</v>
      </c>
      <c r="K83" s="19">
        <f t="shared" si="45"/>
        <v>81816967.975334734</v>
      </c>
      <c r="L83" s="19">
        <f t="shared" si="45"/>
        <v>81725967.975334734</v>
      </c>
      <c r="M83" s="19">
        <f t="shared" si="45"/>
        <v>85583912.975334734</v>
      </c>
      <c r="N83" s="19">
        <f t="shared" si="45"/>
        <v>961961346.75334728</v>
      </c>
    </row>
    <row r="84" spans="1:14" s="1" customFormat="1" ht="13.5" thickBot="1">
      <c r="A84" s="21"/>
      <c r="B84" s="22">
        <f t="shared" ref="B84:N84" si="46">+B83/B7</f>
        <v>0.27712836766457877</v>
      </c>
      <c r="C84" s="22">
        <f t="shared" si="46"/>
        <v>0.26851428510767461</v>
      </c>
      <c r="D84" s="22">
        <f t="shared" si="46"/>
        <v>0.2902764306295777</v>
      </c>
      <c r="E84" s="22">
        <f t="shared" si="46"/>
        <v>0.31324777787975772</v>
      </c>
      <c r="F84" s="22">
        <f t="shared" si="46"/>
        <v>0.29187371953115865</v>
      </c>
      <c r="G84" s="22">
        <f t="shared" si="46"/>
        <v>0.29946029014260162</v>
      </c>
      <c r="H84" s="22">
        <f t="shared" si="46"/>
        <v>0.29031846727186211</v>
      </c>
      <c r="I84" s="22">
        <f t="shared" si="46"/>
        <v>0.30565187089225943</v>
      </c>
      <c r="J84" s="22">
        <f t="shared" si="46"/>
        <v>0.31480800530495789</v>
      </c>
      <c r="K84" s="22">
        <f t="shared" si="46"/>
        <v>0.29568349893044082</v>
      </c>
      <c r="L84" s="22">
        <f t="shared" si="46"/>
        <v>0.31480800530495789</v>
      </c>
      <c r="M84" s="22">
        <f t="shared" si="46"/>
        <v>0.3092970989628242</v>
      </c>
      <c r="N84" s="22">
        <f t="shared" si="46"/>
        <v>0.29800100700217774</v>
      </c>
    </row>
    <row r="85" spans="1:14" s="1" customFormat="1" ht="13.5" thickBot="1">
      <c r="A85" s="53" t="s">
        <v>90</v>
      </c>
      <c r="B85" s="23"/>
      <c r="C85" s="23"/>
      <c r="D85" s="23"/>
      <c r="E85" s="23"/>
      <c r="F85" s="23"/>
      <c r="G85" s="23"/>
      <c r="H85" s="24"/>
      <c r="I85" s="23"/>
      <c r="J85" s="23"/>
      <c r="K85" s="23"/>
      <c r="L85" s="23"/>
      <c r="M85" s="23"/>
      <c r="N85" s="23"/>
    </row>
    <row r="86" spans="1:14" s="35" customFormat="1" ht="13.5" thickBot="1">
      <c r="A86" s="54" t="s">
        <v>29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 ht="15">
      <c r="A87" s="51" t="s">
        <v>276</v>
      </c>
      <c r="B87" s="29">
        <v>1000000</v>
      </c>
      <c r="C87" s="29">
        <v>1500000</v>
      </c>
      <c r="D87" s="29">
        <v>1000000</v>
      </c>
      <c r="E87" s="29"/>
      <c r="F87" s="29">
        <v>0</v>
      </c>
      <c r="G87" s="29">
        <v>120000</v>
      </c>
      <c r="H87" s="16"/>
      <c r="I87" s="29">
        <v>120000</v>
      </c>
      <c r="J87" s="29"/>
      <c r="K87" s="29">
        <v>120000</v>
      </c>
      <c r="L87" s="29"/>
      <c r="M87" s="29">
        <v>120000</v>
      </c>
      <c r="N87" s="17">
        <f t="shared" ref="N87:N89" si="47">SUM(B87:M87)</f>
        <v>3980000</v>
      </c>
    </row>
    <row r="88" spans="1:14" ht="15">
      <c r="A88" s="51" t="s">
        <v>88</v>
      </c>
      <c r="B88" s="29">
        <v>3690454</v>
      </c>
      <c r="C88" s="29">
        <v>3690454</v>
      </c>
      <c r="D88" s="29">
        <v>3690454</v>
      </c>
      <c r="E88" s="29">
        <v>3690454</v>
      </c>
      <c r="F88" s="29">
        <v>3690454</v>
      </c>
      <c r="G88" s="29">
        <v>3690454</v>
      </c>
      <c r="H88" s="29">
        <v>3690454</v>
      </c>
      <c r="I88" s="29">
        <v>3690454</v>
      </c>
      <c r="J88" s="29">
        <v>3690454</v>
      </c>
      <c r="K88" s="29">
        <v>3690454</v>
      </c>
      <c r="L88" s="29">
        <v>3690454</v>
      </c>
      <c r="M88" s="29">
        <v>3690454</v>
      </c>
      <c r="N88" s="17">
        <f t="shared" si="47"/>
        <v>44285448</v>
      </c>
    </row>
    <row r="89" spans="1:14" ht="15.75" thickBot="1">
      <c r="A89" s="51" t="s">
        <v>277</v>
      </c>
      <c r="B89" s="45"/>
      <c r="C89" s="45"/>
      <c r="D89" s="45">
        <v>1500000</v>
      </c>
      <c r="E89" s="45"/>
      <c r="F89" s="45"/>
      <c r="G89" s="45">
        <v>1500000</v>
      </c>
      <c r="H89" s="45"/>
      <c r="I89" s="45"/>
      <c r="J89" s="45"/>
      <c r="K89" s="45"/>
      <c r="L89" s="45"/>
      <c r="M89" s="45"/>
      <c r="N89" s="17">
        <f t="shared" si="47"/>
        <v>3000000</v>
      </c>
    </row>
    <row r="90" spans="1:14" s="1" customFormat="1" ht="13.5" thickBot="1">
      <c r="A90" s="53" t="s">
        <v>30</v>
      </c>
      <c r="B90" s="142">
        <f t="shared" ref="B90:M90" si="48">SUM(B87:B88)</f>
        <v>4690454</v>
      </c>
      <c r="C90" s="142">
        <f t="shared" si="48"/>
        <v>5190454</v>
      </c>
      <c r="D90" s="142">
        <f t="shared" si="48"/>
        <v>4690454</v>
      </c>
      <c r="E90" s="142">
        <f t="shared" si="48"/>
        <v>3690454</v>
      </c>
      <c r="F90" s="142">
        <f t="shared" si="48"/>
        <v>3690454</v>
      </c>
      <c r="G90" s="142">
        <f t="shared" si="48"/>
        <v>3810454</v>
      </c>
      <c r="H90" s="143">
        <f>SUM(H87:H88)</f>
        <v>3690454</v>
      </c>
      <c r="I90" s="142">
        <f t="shared" si="48"/>
        <v>3810454</v>
      </c>
      <c r="J90" s="142">
        <f t="shared" si="48"/>
        <v>3690454</v>
      </c>
      <c r="K90" s="142">
        <f t="shared" si="48"/>
        <v>3810454</v>
      </c>
      <c r="L90" s="142">
        <f t="shared" si="48"/>
        <v>3690454</v>
      </c>
      <c r="M90" s="142">
        <f t="shared" si="48"/>
        <v>3810454</v>
      </c>
      <c r="N90" s="142">
        <f t="shared" ref="N90" si="49">SUM(N87:N88)</f>
        <v>48265448</v>
      </c>
    </row>
    <row r="91" spans="1:14" s="1" customFormat="1" ht="13.5" thickBot="1">
      <c r="A91" s="53" t="s">
        <v>37</v>
      </c>
      <c r="B91" s="25"/>
      <c r="C91" s="25"/>
      <c r="D91" s="25"/>
      <c r="E91" s="25"/>
      <c r="F91" s="25"/>
      <c r="G91" s="25"/>
      <c r="H91" s="26"/>
      <c r="I91" s="25"/>
      <c r="J91" s="25"/>
      <c r="K91" s="25"/>
      <c r="L91" s="25"/>
      <c r="M91" s="25"/>
      <c r="N91" s="25"/>
    </row>
    <row r="92" spans="1:14">
      <c r="A92" s="2" t="s">
        <v>92</v>
      </c>
      <c r="B92" s="29">
        <v>471000</v>
      </c>
      <c r="C92" s="29">
        <v>197550</v>
      </c>
      <c r="D92" s="29">
        <v>250000</v>
      </c>
      <c r="E92" s="29">
        <v>250000</v>
      </c>
      <c r="F92" s="29">
        <v>250000</v>
      </c>
      <c r="G92" s="29">
        <v>250000</v>
      </c>
      <c r="H92" s="29">
        <v>250000</v>
      </c>
      <c r="I92" s="29">
        <v>250000</v>
      </c>
      <c r="J92" s="29">
        <v>250000</v>
      </c>
      <c r="K92" s="29">
        <v>250000</v>
      </c>
      <c r="L92" s="29">
        <v>250000</v>
      </c>
      <c r="M92" s="29">
        <v>250000</v>
      </c>
      <c r="N92" s="17">
        <f t="shared" ref="N92:N95" si="50">SUM(B92:M92)</f>
        <v>3168550</v>
      </c>
    </row>
    <row r="93" spans="1:14">
      <c r="A93" s="37" t="s">
        <v>93</v>
      </c>
      <c r="B93" s="29">
        <v>50000</v>
      </c>
      <c r="C93" s="29"/>
      <c r="D93" s="29">
        <v>20000</v>
      </c>
      <c r="E93" s="29">
        <v>20000</v>
      </c>
      <c r="F93" s="29">
        <v>20000</v>
      </c>
      <c r="G93" s="29">
        <v>20000</v>
      </c>
      <c r="H93" s="29">
        <v>20000</v>
      </c>
      <c r="I93" s="29">
        <v>20000</v>
      </c>
      <c r="J93" s="29">
        <v>20000</v>
      </c>
      <c r="K93" s="29">
        <v>20000</v>
      </c>
      <c r="L93" s="29">
        <v>20000</v>
      </c>
      <c r="M93" s="29">
        <v>20000</v>
      </c>
      <c r="N93" s="17"/>
    </row>
    <row r="94" spans="1:14">
      <c r="A94" s="27" t="s">
        <v>278</v>
      </c>
      <c r="B94" s="29">
        <v>35300</v>
      </c>
      <c r="C94" s="29">
        <v>61400</v>
      </c>
      <c r="D94" s="29"/>
      <c r="E94" s="29"/>
      <c r="F94" s="29"/>
      <c r="G94" s="29"/>
      <c r="H94" s="16"/>
      <c r="I94" s="29"/>
      <c r="J94" s="29"/>
      <c r="K94" s="29"/>
      <c r="L94" s="29"/>
      <c r="M94" s="29"/>
      <c r="N94" s="17"/>
    </row>
    <row r="95" spans="1:14" ht="13.5" thickBot="1">
      <c r="A95" s="27"/>
      <c r="B95" s="29">
        <v>0</v>
      </c>
      <c r="C95" s="29"/>
      <c r="D95" s="29"/>
      <c r="E95" s="29"/>
      <c r="F95" s="29"/>
      <c r="G95" s="29"/>
      <c r="H95" s="16"/>
      <c r="I95" s="29"/>
      <c r="J95" s="29"/>
      <c r="K95" s="29"/>
      <c r="L95" s="29"/>
      <c r="M95" s="29"/>
      <c r="N95" s="17">
        <f t="shared" si="50"/>
        <v>0</v>
      </c>
    </row>
    <row r="96" spans="1:14" s="1" customFormat="1" ht="13.5" thickBot="1">
      <c r="A96" s="53" t="s">
        <v>39</v>
      </c>
      <c r="B96" s="142">
        <f t="shared" ref="B96:N96" si="51">SUM(B92:B95)</f>
        <v>556300</v>
      </c>
      <c r="C96" s="142">
        <f t="shared" si="51"/>
        <v>258950</v>
      </c>
      <c r="D96" s="142">
        <f t="shared" si="51"/>
        <v>270000</v>
      </c>
      <c r="E96" s="142">
        <f t="shared" si="51"/>
        <v>270000</v>
      </c>
      <c r="F96" s="142">
        <f t="shared" si="51"/>
        <v>270000</v>
      </c>
      <c r="G96" s="142">
        <f t="shared" si="51"/>
        <v>270000</v>
      </c>
      <c r="H96" s="143">
        <f t="shared" si="51"/>
        <v>270000</v>
      </c>
      <c r="I96" s="142">
        <f t="shared" si="51"/>
        <v>270000</v>
      </c>
      <c r="J96" s="142">
        <f t="shared" si="51"/>
        <v>270000</v>
      </c>
      <c r="K96" s="142">
        <f t="shared" si="51"/>
        <v>270000</v>
      </c>
      <c r="L96" s="142">
        <f t="shared" si="51"/>
        <v>270000</v>
      </c>
      <c r="M96" s="142">
        <f t="shared" si="51"/>
        <v>270000</v>
      </c>
      <c r="N96" s="142">
        <f t="shared" si="51"/>
        <v>3168550</v>
      </c>
    </row>
    <row r="97" spans="1:14" s="1" customFormat="1" ht="13.5" thickBot="1">
      <c r="A97" s="53" t="s">
        <v>50</v>
      </c>
      <c r="B97" s="25"/>
      <c r="C97" s="25"/>
      <c r="D97" s="25"/>
      <c r="E97" s="25"/>
      <c r="F97" s="25"/>
      <c r="G97" s="25"/>
      <c r="H97" s="26"/>
      <c r="I97" s="25"/>
      <c r="J97" s="25"/>
      <c r="K97" s="25"/>
      <c r="L97" s="25"/>
      <c r="M97" s="25"/>
      <c r="N97" s="25"/>
    </row>
    <row r="98" spans="1:14" s="1" customFormat="1" ht="13.5" thickBot="1">
      <c r="A98" s="27" t="s">
        <v>279</v>
      </c>
      <c r="B98" s="29">
        <v>400169</v>
      </c>
      <c r="C98" s="29">
        <v>400169</v>
      </c>
      <c r="D98" s="29">
        <v>400169</v>
      </c>
      <c r="E98" s="29">
        <v>400169</v>
      </c>
      <c r="F98" s="29">
        <v>400169</v>
      </c>
      <c r="G98" s="29">
        <v>400169</v>
      </c>
      <c r="H98" s="29">
        <v>400169</v>
      </c>
      <c r="I98" s="29">
        <v>400169</v>
      </c>
      <c r="J98" s="29">
        <v>400169</v>
      </c>
      <c r="K98" s="29">
        <v>400169</v>
      </c>
      <c r="L98" s="29">
        <v>500000</v>
      </c>
      <c r="M98" s="29">
        <v>500000</v>
      </c>
      <c r="N98" s="17">
        <f>SUM(B98:M98)</f>
        <v>5001690</v>
      </c>
    </row>
    <row r="99" spans="1:14" s="1" customFormat="1" ht="13.5" thickBot="1">
      <c r="A99" s="53" t="s">
        <v>51</v>
      </c>
      <c r="B99" s="142">
        <f t="shared" ref="B99:N99" si="52">SUM(B98:B98)</f>
        <v>400169</v>
      </c>
      <c r="C99" s="142">
        <f t="shared" si="52"/>
        <v>400169</v>
      </c>
      <c r="D99" s="142">
        <f t="shared" si="52"/>
        <v>400169</v>
      </c>
      <c r="E99" s="142">
        <f t="shared" si="52"/>
        <v>400169</v>
      </c>
      <c r="F99" s="142">
        <f t="shared" si="52"/>
        <v>400169</v>
      </c>
      <c r="G99" s="142">
        <f t="shared" si="52"/>
        <v>400169</v>
      </c>
      <c r="H99" s="143">
        <f t="shared" si="52"/>
        <v>400169</v>
      </c>
      <c r="I99" s="142">
        <f t="shared" si="52"/>
        <v>400169</v>
      </c>
      <c r="J99" s="142">
        <f t="shared" si="52"/>
        <v>400169</v>
      </c>
      <c r="K99" s="142">
        <f t="shared" si="52"/>
        <v>400169</v>
      </c>
      <c r="L99" s="142">
        <f t="shared" si="52"/>
        <v>500000</v>
      </c>
      <c r="M99" s="142">
        <f t="shared" si="52"/>
        <v>500000</v>
      </c>
      <c r="N99" s="142">
        <f t="shared" si="52"/>
        <v>5001690</v>
      </c>
    </row>
    <row r="100" spans="1:14" s="1" customFormat="1" ht="13.5" thickBot="1">
      <c r="A100" s="53" t="s">
        <v>94</v>
      </c>
      <c r="B100" s="25"/>
      <c r="C100" s="25"/>
      <c r="D100" s="25"/>
      <c r="E100" s="25"/>
      <c r="F100" s="25"/>
      <c r="G100" s="25"/>
      <c r="H100" s="26"/>
      <c r="I100" s="25"/>
      <c r="J100" s="25"/>
      <c r="K100" s="25"/>
      <c r="L100" s="25"/>
      <c r="M100" s="25"/>
      <c r="N100" s="25"/>
    </row>
    <row r="101" spans="1:14" s="1" customFormat="1">
      <c r="A101" s="27" t="s">
        <v>52</v>
      </c>
      <c r="B101" s="29">
        <v>22841076</v>
      </c>
      <c r="C101" s="29">
        <v>22841076</v>
      </c>
      <c r="D101" s="29">
        <v>22841076</v>
      </c>
      <c r="E101" s="29">
        <v>22841076</v>
      </c>
      <c r="F101" s="29">
        <v>22841076</v>
      </c>
      <c r="G101" s="29">
        <v>22841076</v>
      </c>
      <c r="H101" s="29">
        <v>22841076</v>
      </c>
      <c r="I101" s="29">
        <v>22841076</v>
      </c>
      <c r="J101" s="29">
        <v>22841076</v>
      </c>
      <c r="K101" s="29">
        <v>22841076</v>
      </c>
      <c r="L101" s="29">
        <v>22841076</v>
      </c>
      <c r="M101" s="29">
        <v>22841076</v>
      </c>
      <c r="N101" s="17">
        <f>SUM(B101:M101)</f>
        <v>274092912</v>
      </c>
    </row>
    <row r="102" spans="1:14" s="1" customFormat="1" ht="13.5" thickBot="1">
      <c r="A102" s="44"/>
      <c r="B102" s="17"/>
      <c r="C102" s="17"/>
      <c r="D102" s="45"/>
      <c r="E102" s="45"/>
      <c r="F102" s="45"/>
      <c r="G102" s="45"/>
      <c r="H102" s="16"/>
      <c r="I102" s="16"/>
      <c r="J102" s="16"/>
      <c r="K102" s="16"/>
      <c r="L102" s="16"/>
      <c r="M102" s="16"/>
      <c r="N102" s="17"/>
    </row>
    <row r="103" spans="1:14" s="1" customFormat="1" ht="13.5" thickBot="1">
      <c r="A103" s="53" t="s">
        <v>53</v>
      </c>
      <c r="B103" s="142">
        <f t="shared" ref="B103:G103" si="53">SUM(B101:B102)</f>
        <v>22841076</v>
      </c>
      <c r="C103" s="142">
        <f t="shared" si="53"/>
        <v>22841076</v>
      </c>
      <c r="D103" s="142">
        <f t="shared" si="53"/>
        <v>22841076</v>
      </c>
      <c r="E103" s="142">
        <f t="shared" si="53"/>
        <v>22841076</v>
      </c>
      <c r="F103" s="142">
        <f t="shared" si="53"/>
        <v>22841076</v>
      </c>
      <c r="G103" s="142">
        <f t="shared" si="53"/>
        <v>22841076</v>
      </c>
      <c r="H103" s="143">
        <f>SUM(H101:H102)</f>
        <v>22841076</v>
      </c>
      <c r="I103" s="142">
        <f t="shared" ref="I103:N103" si="54">SUM(I101:I102)</f>
        <v>22841076</v>
      </c>
      <c r="J103" s="142">
        <f t="shared" si="54"/>
        <v>22841076</v>
      </c>
      <c r="K103" s="142">
        <f t="shared" si="54"/>
        <v>22841076</v>
      </c>
      <c r="L103" s="142">
        <f t="shared" si="54"/>
        <v>22841076</v>
      </c>
      <c r="M103" s="142">
        <f t="shared" si="54"/>
        <v>22841076</v>
      </c>
      <c r="N103" s="142">
        <f t="shared" si="54"/>
        <v>274092912</v>
      </c>
    </row>
    <row r="104" spans="1:14" s="1" customFormat="1" ht="13.5" thickBot="1">
      <c r="A104" s="149" t="s">
        <v>54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</row>
    <row r="105" spans="1:14" s="1" customFormat="1" ht="13.5" thickBot="1">
      <c r="A105" s="27" t="s">
        <v>55</v>
      </c>
      <c r="B105" s="29">
        <f t="shared" ref="B105:M105" si="55">+B7*13.8/1000</f>
        <v>3341510.7894000001</v>
      </c>
      <c r="C105" s="29">
        <f t="shared" si="55"/>
        <v>3386401.2510000002</v>
      </c>
      <c r="D105" s="29">
        <f t="shared" si="55"/>
        <v>3863361.4021893996</v>
      </c>
      <c r="E105" s="29">
        <f t="shared" si="55"/>
        <v>3770363.5347509999</v>
      </c>
      <c r="F105" s="29">
        <f t="shared" si="55"/>
        <v>3864062.7181893997</v>
      </c>
      <c r="G105" s="29">
        <f t="shared" si="55"/>
        <v>3770363.5347509999</v>
      </c>
      <c r="H105" s="29">
        <f t="shared" si="55"/>
        <v>3884762.7181893997</v>
      </c>
      <c r="I105" s="29">
        <f t="shared" si="55"/>
        <v>3864062.7181893997</v>
      </c>
      <c r="J105" s="29">
        <f t="shared" si="55"/>
        <v>3582559.3347510006</v>
      </c>
      <c r="K105" s="29">
        <f t="shared" si="55"/>
        <v>3818522.7181893997</v>
      </c>
      <c r="L105" s="29">
        <f t="shared" si="55"/>
        <v>3582559.3347510006</v>
      </c>
      <c r="M105" s="29">
        <f t="shared" si="55"/>
        <v>3818522.7181893997</v>
      </c>
      <c r="N105" s="17">
        <f t="shared" ref="N105" si="56">SUM(B105:M105)</f>
        <v>44547052.772540405</v>
      </c>
    </row>
    <row r="106" spans="1:14" s="1" customFormat="1" ht="13.5" thickBot="1">
      <c r="A106" s="53" t="s">
        <v>56</v>
      </c>
      <c r="B106" s="142">
        <f>+B105</f>
        <v>3341510.7894000001</v>
      </c>
      <c r="C106" s="142">
        <f t="shared" ref="C106:J106" si="57">+C105</f>
        <v>3386401.2510000002</v>
      </c>
      <c r="D106" s="142">
        <f t="shared" si="57"/>
        <v>3863361.4021893996</v>
      </c>
      <c r="E106" s="142">
        <f t="shared" si="57"/>
        <v>3770363.5347509999</v>
      </c>
      <c r="F106" s="142">
        <f t="shared" si="57"/>
        <v>3864062.7181893997</v>
      </c>
      <c r="G106" s="142">
        <f t="shared" si="57"/>
        <v>3770363.5347509999</v>
      </c>
      <c r="H106" s="142">
        <f t="shared" si="57"/>
        <v>3884762.7181893997</v>
      </c>
      <c r="I106" s="142">
        <f t="shared" si="57"/>
        <v>3864062.7181893997</v>
      </c>
      <c r="J106" s="142">
        <f t="shared" si="57"/>
        <v>3582559.3347510006</v>
      </c>
      <c r="K106" s="142">
        <f>+K105</f>
        <v>3818522.7181893997</v>
      </c>
      <c r="L106" s="142">
        <f>+L105</f>
        <v>3582559.3347510006</v>
      </c>
      <c r="M106" s="142">
        <f>+M105</f>
        <v>3818522.7181893997</v>
      </c>
      <c r="N106" s="142">
        <f>SUM(K106:M106)</f>
        <v>11219604.7711298</v>
      </c>
    </row>
    <row r="107" spans="1:14" s="1" customFormat="1" ht="13.5" thickBot="1">
      <c r="A107" s="11" t="s">
        <v>258</v>
      </c>
      <c r="B107" s="19">
        <f>+B106+B103+B99+B96+B90</f>
        <v>31829509.7894</v>
      </c>
      <c r="C107" s="19">
        <f t="shared" ref="C107:N107" si="58">+C106+C103+C99+C96+C90</f>
        <v>32077050.251000002</v>
      </c>
      <c r="D107" s="19">
        <f>+D106+D103+D99+D96+D90</f>
        <v>32065060.4021894</v>
      </c>
      <c r="E107" s="19">
        <f>+E106+E103+E99+E96+E90</f>
        <v>30972062.534750998</v>
      </c>
      <c r="F107" s="19">
        <f>+F106+F103+F99+F96+F90</f>
        <v>31065761.7181894</v>
      </c>
      <c r="G107" s="19">
        <f t="shared" si="58"/>
        <v>31092062.534750998</v>
      </c>
      <c r="H107" s="19">
        <f t="shared" si="58"/>
        <v>31086461.7181894</v>
      </c>
      <c r="I107" s="19">
        <f t="shared" si="58"/>
        <v>31185761.7181894</v>
      </c>
      <c r="J107" s="19">
        <f t="shared" si="58"/>
        <v>30784258.334751002</v>
      </c>
      <c r="K107" s="19">
        <f t="shared" si="58"/>
        <v>31140221.7181894</v>
      </c>
      <c r="L107" s="19">
        <f t="shared" si="58"/>
        <v>30884089.334751002</v>
      </c>
      <c r="M107" s="19">
        <f t="shared" si="58"/>
        <v>31240052.7181894</v>
      </c>
      <c r="N107" s="19">
        <f t="shared" si="58"/>
        <v>341748204.77112979</v>
      </c>
    </row>
    <row r="108" spans="1:14" s="1" customFormat="1" ht="13.5" thickBot="1">
      <c r="A108" s="21"/>
      <c r="B108" s="22">
        <f t="shared" ref="B108:N108" si="59">+B107/B7</f>
        <v>0.13145168840606708</v>
      </c>
      <c r="C108" s="22">
        <f t="shared" si="59"/>
        <v>0.13071790985580403</v>
      </c>
      <c r="D108" s="22">
        <f t="shared" si="59"/>
        <v>0.11453700223319684</v>
      </c>
      <c r="E108" s="22">
        <f t="shared" si="59"/>
        <v>0.11336160533066232</v>
      </c>
      <c r="F108" s="22">
        <f t="shared" si="59"/>
        <v>0.11094734816102959</v>
      </c>
      <c r="G108" s="22">
        <f t="shared" si="59"/>
        <v>0.11380082027233489</v>
      </c>
      <c r="H108" s="22">
        <f t="shared" si="59"/>
        <v>0.11042969746964565</v>
      </c>
      <c r="I108" s="22">
        <f t="shared" si="59"/>
        <v>0.11137591263339301</v>
      </c>
      <c r="J108" s="22">
        <f t="shared" si="59"/>
        <v>0.11858080364469119</v>
      </c>
      <c r="K108" s="22">
        <f t="shared" si="59"/>
        <v>0.11253961058395326</v>
      </c>
      <c r="L108" s="22">
        <f t="shared" si="59"/>
        <v>0.11896535213957209</v>
      </c>
      <c r="M108" s="22">
        <f t="shared" si="59"/>
        <v>0.11290039612895932</v>
      </c>
      <c r="N108" s="22">
        <f t="shared" si="59"/>
        <v>0.10586840054093759</v>
      </c>
    </row>
    <row r="109" spans="1:14" s="1" customFormat="1" ht="13.5" thickBot="1">
      <c r="A109" s="5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 s="1" customFormat="1" ht="13.5" thickBot="1">
      <c r="A110" s="150" t="s">
        <v>98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14" s="1" customFormat="1" ht="13.5" thickBot="1">
      <c r="A111" s="151" t="s">
        <v>29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4" s="1" customFormat="1" ht="15.75" thickBot="1">
      <c r="A112" s="51" t="s">
        <v>280</v>
      </c>
      <c r="B112" s="29">
        <v>1050000</v>
      </c>
      <c r="C112" s="29">
        <v>600000</v>
      </c>
      <c r="D112" s="29">
        <v>600000</v>
      </c>
      <c r="E112" s="29">
        <v>600000</v>
      </c>
      <c r="F112" s="29">
        <v>600000</v>
      </c>
      <c r="G112" s="29">
        <v>0</v>
      </c>
      <c r="H112" s="29">
        <v>0</v>
      </c>
      <c r="I112" s="29">
        <v>0</v>
      </c>
      <c r="J112" s="29">
        <v>0</v>
      </c>
      <c r="K112" s="29">
        <v>600000</v>
      </c>
      <c r="L112" s="29">
        <v>0</v>
      </c>
      <c r="M112" s="29">
        <v>0</v>
      </c>
      <c r="N112" s="17">
        <f>SUM(B112:M112)</f>
        <v>4050000</v>
      </c>
    </row>
    <row r="113" spans="1:14" s="1" customFormat="1" ht="13.5" thickBot="1">
      <c r="A113" s="150" t="s">
        <v>30</v>
      </c>
      <c r="B113" s="152">
        <f>+B112</f>
        <v>1050000</v>
      </c>
      <c r="C113" s="152">
        <f t="shared" ref="C113:N113" si="60">+C112</f>
        <v>600000</v>
      </c>
      <c r="D113" s="152">
        <f t="shared" si="60"/>
        <v>600000</v>
      </c>
      <c r="E113" s="152">
        <f t="shared" si="60"/>
        <v>600000</v>
      </c>
      <c r="F113" s="152">
        <f t="shared" si="60"/>
        <v>600000</v>
      </c>
      <c r="G113" s="152">
        <f t="shared" si="60"/>
        <v>0</v>
      </c>
      <c r="H113" s="152">
        <f t="shared" si="60"/>
        <v>0</v>
      </c>
      <c r="I113" s="152">
        <f t="shared" si="60"/>
        <v>0</v>
      </c>
      <c r="J113" s="152">
        <f t="shared" si="60"/>
        <v>0</v>
      </c>
      <c r="K113" s="152">
        <f t="shared" si="60"/>
        <v>600000</v>
      </c>
      <c r="L113" s="152">
        <f t="shared" si="60"/>
        <v>0</v>
      </c>
      <c r="M113" s="152">
        <f t="shared" si="60"/>
        <v>0</v>
      </c>
      <c r="N113" s="152">
        <f t="shared" si="60"/>
        <v>4050000</v>
      </c>
    </row>
    <row r="114" spans="1:14" s="1" customFormat="1" ht="13.5" thickBot="1">
      <c r="A114" s="150" t="s">
        <v>259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1:14" s="1" customFormat="1">
      <c r="A115" s="37" t="s">
        <v>89</v>
      </c>
      <c r="B115" s="29">
        <v>280764</v>
      </c>
      <c r="C115" s="29">
        <v>280764</v>
      </c>
      <c r="D115" s="29">
        <v>280764</v>
      </c>
      <c r="E115" s="29">
        <v>280764</v>
      </c>
      <c r="F115" s="29">
        <v>280764</v>
      </c>
      <c r="G115" s="29">
        <v>280764</v>
      </c>
      <c r="H115" s="29">
        <v>280764</v>
      </c>
      <c r="I115" s="29">
        <v>280764</v>
      </c>
      <c r="J115" s="29">
        <v>280764</v>
      </c>
      <c r="K115" s="29">
        <v>280764</v>
      </c>
      <c r="L115" s="29">
        <v>280764</v>
      </c>
      <c r="M115" s="29">
        <v>280764</v>
      </c>
      <c r="N115" s="17">
        <f>SUM(B115:M115)</f>
        <v>3369168</v>
      </c>
    </row>
    <row r="116" spans="1:14" s="1" customFormat="1" ht="13.5" thickBot="1">
      <c r="A116" s="37" t="s">
        <v>31</v>
      </c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17">
        <f t="shared" ref="N116" si="61">SUM(B116:M116)</f>
        <v>0</v>
      </c>
    </row>
    <row r="117" spans="1:14" s="1" customFormat="1" ht="13.5" thickBot="1">
      <c r="A117" s="150" t="s">
        <v>260</v>
      </c>
      <c r="B117" s="152">
        <f>+B115+B116</f>
        <v>280764</v>
      </c>
      <c r="C117" s="152">
        <f t="shared" ref="C117" si="62">+C115+C116</f>
        <v>280764</v>
      </c>
      <c r="D117" s="152">
        <f t="shared" ref="D117" si="63">+D115+D116</f>
        <v>280764</v>
      </c>
      <c r="E117" s="152">
        <f t="shared" ref="E117" si="64">+E115+E116</f>
        <v>280764</v>
      </c>
      <c r="F117" s="152">
        <f t="shared" ref="F117" si="65">+F115+F116</f>
        <v>280764</v>
      </c>
      <c r="G117" s="152">
        <f t="shared" ref="G117" si="66">+G115+G116</f>
        <v>280764</v>
      </c>
      <c r="H117" s="152">
        <f t="shared" ref="H117" si="67">+H115+H116</f>
        <v>280764</v>
      </c>
      <c r="I117" s="152">
        <f t="shared" ref="I117" si="68">+I115+I116</f>
        <v>280764</v>
      </c>
      <c r="J117" s="152">
        <f t="shared" ref="J117" si="69">+J115+J116</f>
        <v>280764</v>
      </c>
      <c r="K117" s="152">
        <f t="shared" ref="K117" si="70">+K115+K116</f>
        <v>280764</v>
      </c>
      <c r="L117" s="152">
        <f t="shared" ref="L117" si="71">+L115+L116</f>
        <v>280764</v>
      </c>
      <c r="M117" s="152">
        <f t="shared" ref="M117" si="72">+M115+M116</f>
        <v>280764</v>
      </c>
      <c r="N117" s="152">
        <f>SUM(B117:M117)</f>
        <v>3369168</v>
      </c>
    </row>
    <row r="118" spans="1:14" s="1" customFormat="1" ht="13.5" thickBot="1">
      <c r="A118" s="150" t="s">
        <v>32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1:14" s="1" customFormat="1">
      <c r="A119" s="27" t="s">
        <v>99</v>
      </c>
      <c r="B119" s="29">
        <v>352296</v>
      </c>
      <c r="C119" s="29">
        <v>1652500</v>
      </c>
      <c r="D119" s="29">
        <v>281000</v>
      </c>
      <c r="E119" s="29">
        <v>281000</v>
      </c>
      <c r="F119" s="29">
        <v>281000</v>
      </c>
      <c r="G119" s="29">
        <v>281000</v>
      </c>
      <c r="H119" s="29">
        <v>281000</v>
      </c>
      <c r="I119" s="29">
        <v>281000</v>
      </c>
      <c r="J119" s="29">
        <v>281000</v>
      </c>
      <c r="K119" s="29">
        <v>281000</v>
      </c>
      <c r="L119" s="29">
        <v>281000</v>
      </c>
      <c r="M119" s="29">
        <v>281000</v>
      </c>
      <c r="N119" s="17">
        <f t="shared" ref="N119:N122" si="73">SUM(B119:M119)</f>
        <v>4814796</v>
      </c>
    </row>
    <row r="120" spans="1:14" s="1" customFormat="1">
      <c r="A120" s="153" t="s">
        <v>100</v>
      </c>
      <c r="B120" s="154">
        <v>213878</v>
      </c>
      <c r="C120" s="154">
        <v>82724</v>
      </c>
      <c r="D120" s="154">
        <v>213878</v>
      </c>
      <c r="E120" s="154">
        <v>213878</v>
      </c>
      <c r="F120" s="154">
        <v>213878</v>
      </c>
      <c r="G120" s="154">
        <v>213878</v>
      </c>
      <c r="H120" s="154">
        <v>213878</v>
      </c>
      <c r="I120" s="154">
        <v>213878</v>
      </c>
      <c r="J120" s="154">
        <v>213878</v>
      </c>
      <c r="K120" s="154">
        <v>213878</v>
      </c>
      <c r="L120" s="154">
        <v>213878</v>
      </c>
      <c r="M120" s="154">
        <v>213878</v>
      </c>
      <c r="N120" s="17">
        <f t="shared" si="73"/>
        <v>2435382</v>
      </c>
    </row>
    <row r="121" spans="1:14" s="1" customFormat="1">
      <c r="A121" s="153" t="s">
        <v>101</v>
      </c>
      <c r="B121" s="154">
        <v>120000</v>
      </c>
      <c r="C121" s="154">
        <v>312800</v>
      </c>
      <c r="D121" s="154">
        <v>250000</v>
      </c>
      <c r="E121" s="154">
        <v>250000</v>
      </c>
      <c r="F121" s="154">
        <v>250000</v>
      </c>
      <c r="G121" s="154">
        <v>250000</v>
      </c>
      <c r="H121" s="154">
        <v>250000</v>
      </c>
      <c r="I121" s="154">
        <v>250000</v>
      </c>
      <c r="J121" s="154">
        <v>250000</v>
      </c>
      <c r="K121" s="154">
        <v>250000</v>
      </c>
      <c r="L121" s="154">
        <v>250000</v>
      </c>
      <c r="M121" s="154">
        <v>250000</v>
      </c>
      <c r="N121" s="17">
        <f t="shared" si="73"/>
        <v>2932800</v>
      </c>
    </row>
    <row r="122" spans="1:14" s="1" customFormat="1" ht="13.5" thickBot="1">
      <c r="A122" s="27" t="s">
        <v>91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17">
        <f t="shared" si="73"/>
        <v>0</v>
      </c>
    </row>
    <row r="123" spans="1:14" s="1" customFormat="1" ht="13.5" thickBot="1">
      <c r="A123" s="150" t="s">
        <v>33</v>
      </c>
      <c r="B123" s="152">
        <f>+B119+B120+B121+B122</f>
        <v>686174</v>
      </c>
      <c r="C123" s="152">
        <f t="shared" ref="C123:M123" si="74">+C119+C120+C121+C122</f>
        <v>2048024</v>
      </c>
      <c r="D123" s="152">
        <f t="shared" si="74"/>
        <v>744878</v>
      </c>
      <c r="E123" s="152">
        <f t="shared" si="74"/>
        <v>744878</v>
      </c>
      <c r="F123" s="152">
        <f t="shared" si="74"/>
        <v>744878</v>
      </c>
      <c r="G123" s="152">
        <f t="shared" si="74"/>
        <v>744878</v>
      </c>
      <c r="H123" s="152">
        <f t="shared" si="74"/>
        <v>744878</v>
      </c>
      <c r="I123" s="152">
        <f t="shared" si="74"/>
        <v>744878</v>
      </c>
      <c r="J123" s="152">
        <f t="shared" si="74"/>
        <v>744878</v>
      </c>
      <c r="K123" s="152">
        <f t="shared" si="74"/>
        <v>744878</v>
      </c>
      <c r="L123" s="152">
        <f t="shared" si="74"/>
        <v>744878</v>
      </c>
      <c r="M123" s="152">
        <f t="shared" si="74"/>
        <v>744878</v>
      </c>
      <c r="N123" s="152">
        <f>SUM(B123:M123)</f>
        <v>10182978</v>
      </c>
    </row>
    <row r="124" spans="1:14" s="1" customFormat="1" ht="13.5" thickBot="1">
      <c r="A124" s="150" t="s">
        <v>266</v>
      </c>
      <c r="B124" s="12"/>
      <c r="C124" s="12"/>
      <c r="D124" s="12"/>
      <c r="E124" s="12"/>
      <c r="F124" s="12"/>
      <c r="G124" s="12"/>
      <c r="H124" s="13"/>
      <c r="I124" s="12"/>
      <c r="J124" s="12"/>
      <c r="K124" s="12"/>
      <c r="L124" s="12"/>
      <c r="M124" s="12"/>
      <c r="N124" s="12"/>
    </row>
    <row r="125" spans="1:14">
      <c r="A125" s="27" t="s">
        <v>34</v>
      </c>
      <c r="B125" s="29">
        <f>1276275</f>
        <v>1276275</v>
      </c>
      <c r="C125" s="29">
        <v>2000900</v>
      </c>
      <c r="D125" s="29">
        <f>987700+600000</f>
        <v>1587700</v>
      </c>
      <c r="E125" s="29"/>
      <c r="F125" s="29">
        <v>987700</v>
      </c>
      <c r="G125" s="29">
        <v>600000</v>
      </c>
      <c r="H125" s="29">
        <v>987700</v>
      </c>
      <c r="I125" s="29"/>
      <c r="J125" s="29">
        <f>987700+600000</f>
        <v>1587700</v>
      </c>
      <c r="K125" s="29"/>
      <c r="L125" s="29">
        <v>987700</v>
      </c>
      <c r="M125" s="29">
        <v>600000</v>
      </c>
      <c r="N125" s="17">
        <f t="shared" ref="N125:N126" si="75">SUM(B125:M125)</f>
        <v>10615675</v>
      </c>
    </row>
    <row r="126" spans="1:14">
      <c r="A126" s="27" t="s">
        <v>35</v>
      </c>
      <c r="B126" s="29">
        <f>631723+1122000</f>
        <v>1753723</v>
      </c>
      <c r="C126" s="29">
        <v>3806100</v>
      </c>
      <c r="D126" s="29">
        <v>200000</v>
      </c>
      <c r="E126" s="29"/>
      <c r="F126" s="29"/>
      <c r="G126" s="29">
        <v>6700000</v>
      </c>
      <c r="H126" s="29"/>
      <c r="I126" s="29"/>
      <c r="J126" s="29">
        <v>200000</v>
      </c>
      <c r="K126" s="29"/>
      <c r="L126" s="29"/>
      <c r="M126" s="29">
        <v>200000</v>
      </c>
      <c r="N126" s="17">
        <f t="shared" si="75"/>
        <v>12859823</v>
      </c>
    </row>
    <row r="127" spans="1:14">
      <c r="A127" s="44" t="s">
        <v>267</v>
      </c>
      <c r="B127" s="29"/>
      <c r="C127" s="29">
        <v>214200</v>
      </c>
      <c r="D127" s="29"/>
      <c r="E127" s="29">
        <v>214200</v>
      </c>
      <c r="F127" s="29"/>
      <c r="G127" s="29">
        <v>214200</v>
      </c>
      <c r="H127" s="29"/>
      <c r="I127" s="29">
        <v>214200</v>
      </c>
      <c r="J127" s="29"/>
      <c r="K127" s="29">
        <v>214200</v>
      </c>
      <c r="L127" s="45"/>
      <c r="M127" s="29">
        <v>214200</v>
      </c>
      <c r="N127" s="17">
        <f>SUM(B127:M127)</f>
        <v>1285200</v>
      </c>
    </row>
    <row r="128" spans="1:14" ht="13.5" thickBot="1">
      <c r="A128" s="14" t="s">
        <v>268</v>
      </c>
      <c r="B128" s="29"/>
      <c r="C128" s="29">
        <v>220745</v>
      </c>
      <c r="D128" s="29"/>
      <c r="E128" s="29"/>
      <c r="F128" s="29">
        <v>220745</v>
      </c>
      <c r="G128" s="29"/>
      <c r="H128" s="29"/>
      <c r="I128" s="29">
        <v>220745</v>
      </c>
      <c r="J128" s="29"/>
      <c r="K128" s="29"/>
      <c r="L128" s="15">
        <v>220745</v>
      </c>
      <c r="M128" s="29"/>
      <c r="N128" s="17">
        <f>SUM(B128:M128)</f>
        <v>882980</v>
      </c>
    </row>
    <row r="129" spans="1:16" s="32" customFormat="1" ht="13.5" thickBot="1">
      <c r="A129" s="158" t="s">
        <v>36</v>
      </c>
      <c r="B129" s="158">
        <f>SUM(B125:B128)</f>
        <v>3029998</v>
      </c>
      <c r="C129" s="158">
        <f t="shared" ref="C129:M129" si="76">SUM(C125:C128)</f>
        <v>6241945</v>
      </c>
      <c r="D129" s="158">
        <f t="shared" si="76"/>
        <v>1787700</v>
      </c>
      <c r="E129" s="158">
        <f t="shared" si="76"/>
        <v>214200</v>
      </c>
      <c r="F129" s="158">
        <f t="shared" si="76"/>
        <v>1208445</v>
      </c>
      <c r="G129" s="158">
        <f t="shared" si="76"/>
        <v>7514200</v>
      </c>
      <c r="H129" s="158">
        <f t="shared" si="76"/>
        <v>987700</v>
      </c>
      <c r="I129" s="158">
        <f t="shared" si="76"/>
        <v>434945</v>
      </c>
      <c r="J129" s="158">
        <f t="shared" si="76"/>
        <v>1787700</v>
      </c>
      <c r="K129" s="158">
        <f t="shared" si="76"/>
        <v>214200</v>
      </c>
      <c r="L129" s="158">
        <f t="shared" si="76"/>
        <v>1208445</v>
      </c>
      <c r="M129" s="158">
        <f t="shared" si="76"/>
        <v>1014200</v>
      </c>
      <c r="N129" s="158">
        <f t="shared" ref="N129" si="77">SUM(N125:N126)</f>
        <v>23475498</v>
      </c>
    </row>
    <row r="130" spans="1:16" s="1" customFormat="1" ht="13.5" thickBot="1">
      <c r="A130" s="150" t="s">
        <v>37</v>
      </c>
      <c r="B130" s="25"/>
      <c r="C130" s="25"/>
      <c r="D130" s="25"/>
      <c r="E130" s="25"/>
      <c r="F130" s="25"/>
      <c r="G130" s="25"/>
      <c r="H130" s="26"/>
      <c r="I130" s="25"/>
      <c r="J130" s="25"/>
      <c r="K130" s="25"/>
      <c r="L130" s="25"/>
      <c r="M130" s="25"/>
      <c r="N130" s="25"/>
    </row>
    <row r="131" spans="1:16">
      <c r="A131" s="27" t="s">
        <v>38</v>
      </c>
      <c r="B131" s="29">
        <v>0</v>
      </c>
      <c r="C131" s="29">
        <v>1708840</v>
      </c>
      <c r="D131" s="29"/>
      <c r="E131" s="29"/>
      <c r="F131" s="29">
        <v>1708840</v>
      </c>
      <c r="G131" s="29"/>
      <c r="H131" s="16"/>
      <c r="I131" s="29"/>
      <c r="J131" s="29">
        <v>1708840</v>
      </c>
      <c r="K131" s="29"/>
      <c r="L131" s="29"/>
      <c r="M131" s="29">
        <v>1708840</v>
      </c>
      <c r="N131" s="17">
        <f t="shared" ref="N131:N135" si="78">SUM(B131:M131)</f>
        <v>6835360</v>
      </c>
      <c r="P131" s="3">
        <f>+M131-I131</f>
        <v>1708840</v>
      </c>
    </row>
    <row r="132" spans="1:16">
      <c r="A132" s="27" t="s">
        <v>281</v>
      </c>
      <c r="B132" s="29">
        <v>73500</v>
      </c>
      <c r="C132" s="29">
        <v>11000</v>
      </c>
      <c r="D132" s="29">
        <v>500000</v>
      </c>
      <c r="E132" s="29">
        <v>500000</v>
      </c>
      <c r="F132" s="29">
        <v>500000</v>
      </c>
      <c r="G132" s="29">
        <v>500000</v>
      </c>
      <c r="H132" s="29">
        <v>500000</v>
      </c>
      <c r="I132" s="29">
        <v>500000</v>
      </c>
      <c r="J132" s="29">
        <v>500000</v>
      </c>
      <c r="K132" s="29">
        <v>500000</v>
      </c>
      <c r="L132" s="29">
        <v>500000</v>
      </c>
      <c r="M132" s="29">
        <v>500000</v>
      </c>
      <c r="N132" s="17">
        <f t="shared" si="78"/>
        <v>5084500</v>
      </c>
    </row>
    <row r="133" spans="1:16">
      <c r="A133" s="27" t="s">
        <v>263</v>
      </c>
      <c r="B133" s="29">
        <v>467000</v>
      </c>
      <c r="C133" s="29">
        <v>200000</v>
      </c>
      <c r="D133" s="29">
        <v>200000</v>
      </c>
      <c r="E133" s="29">
        <v>200000</v>
      </c>
      <c r="F133" s="29">
        <v>200000</v>
      </c>
      <c r="G133" s="29">
        <v>200000</v>
      </c>
      <c r="H133" s="29">
        <v>200000</v>
      </c>
      <c r="I133" s="29">
        <v>200000</v>
      </c>
      <c r="J133" s="29">
        <v>200000</v>
      </c>
      <c r="K133" s="29">
        <v>200000</v>
      </c>
      <c r="L133" s="29">
        <v>200000</v>
      </c>
      <c r="M133" s="29">
        <v>200000</v>
      </c>
      <c r="N133" s="17">
        <f t="shared" si="78"/>
        <v>2667000</v>
      </c>
      <c r="P133" s="3">
        <f>+M133-I133</f>
        <v>0</v>
      </c>
    </row>
    <row r="134" spans="1:16">
      <c r="A134" s="27" t="s">
        <v>264</v>
      </c>
      <c r="B134" s="29">
        <v>20000</v>
      </c>
      <c r="C134" s="29">
        <v>40000</v>
      </c>
      <c r="D134" s="29">
        <v>40000</v>
      </c>
      <c r="E134" s="29">
        <v>40000</v>
      </c>
      <c r="F134" s="29">
        <v>40000</v>
      </c>
      <c r="G134" s="29">
        <v>40000</v>
      </c>
      <c r="H134" s="29">
        <v>40000</v>
      </c>
      <c r="I134" s="29">
        <v>40000</v>
      </c>
      <c r="J134" s="29">
        <v>40000</v>
      </c>
      <c r="K134" s="29">
        <v>40000</v>
      </c>
      <c r="L134" s="29">
        <v>40000</v>
      </c>
      <c r="M134" s="29">
        <v>40000</v>
      </c>
      <c r="N134" s="17">
        <f t="shared" si="78"/>
        <v>460000</v>
      </c>
    </row>
    <row r="135" spans="1:16" ht="13.5" thickBot="1">
      <c r="A135" s="14"/>
      <c r="B135" s="15">
        <v>0</v>
      </c>
      <c r="C135" s="15">
        <v>0</v>
      </c>
      <c r="D135" s="15"/>
      <c r="E135" s="15"/>
      <c r="F135" s="15"/>
      <c r="G135" s="15"/>
      <c r="H135" s="16"/>
      <c r="I135" s="15"/>
      <c r="J135" s="15"/>
      <c r="K135" s="15"/>
      <c r="L135" s="15"/>
      <c r="M135" s="15"/>
      <c r="N135" s="17">
        <f t="shared" si="78"/>
        <v>0</v>
      </c>
      <c r="P135" s="3">
        <f>+M135-I135</f>
        <v>0</v>
      </c>
    </row>
    <row r="136" spans="1:16" s="32" customFormat="1" ht="13.5" thickBot="1">
      <c r="A136" s="158" t="s">
        <v>39</v>
      </c>
      <c r="B136" s="158">
        <f t="shared" ref="B136:N136" si="79">SUM(B131:B135)</f>
        <v>560500</v>
      </c>
      <c r="C136" s="158">
        <f t="shared" si="79"/>
        <v>1959840</v>
      </c>
      <c r="D136" s="158">
        <f>SUM(D131:D135)</f>
        <v>740000</v>
      </c>
      <c r="E136" s="158">
        <f t="shared" si="79"/>
        <v>740000</v>
      </c>
      <c r="F136" s="158">
        <f t="shared" si="79"/>
        <v>2448840</v>
      </c>
      <c r="G136" s="158">
        <f t="shared" si="79"/>
        <v>740000</v>
      </c>
      <c r="H136" s="158">
        <f t="shared" si="79"/>
        <v>740000</v>
      </c>
      <c r="I136" s="158">
        <f t="shared" si="79"/>
        <v>740000</v>
      </c>
      <c r="J136" s="158">
        <f t="shared" si="79"/>
        <v>2448840</v>
      </c>
      <c r="K136" s="158">
        <f t="shared" si="79"/>
        <v>740000</v>
      </c>
      <c r="L136" s="158">
        <f t="shared" si="79"/>
        <v>740000</v>
      </c>
      <c r="M136" s="158">
        <f t="shared" si="79"/>
        <v>2448840</v>
      </c>
      <c r="N136" s="158">
        <f t="shared" si="79"/>
        <v>15046860</v>
      </c>
    </row>
    <row r="137" spans="1:16" s="32" customFormat="1" ht="13.5" thickBot="1">
      <c r="A137" s="158" t="s">
        <v>40</v>
      </c>
      <c r="B137" s="158">
        <f t="shared" ref="B137:N137" si="80">+B136+B129+B123+B117+B113</f>
        <v>5607436</v>
      </c>
      <c r="C137" s="158">
        <f t="shared" si="80"/>
        <v>11130573</v>
      </c>
      <c r="D137" s="158">
        <f t="shared" si="80"/>
        <v>4153342</v>
      </c>
      <c r="E137" s="158">
        <f t="shared" si="80"/>
        <v>2579842</v>
      </c>
      <c r="F137" s="158">
        <f t="shared" si="80"/>
        <v>5282927</v>
      </c>
      <c r="G137" s="158">
        <f t="shared" si="80"/>
        <v>9279842</v>
      </c>
      <c r="H137" s="158">
        <f t="shared" si="80"/>
        <v>2753342</v>
      </c>
      <c r="I137" s="158">
        <f t="shared" si="80"/>
        <v>2200587</v>
      </c>
      <c r="J137" s="158">
        <f t="shared" si="80"/>
        <v>5262182</v>
      </c>
      <c r="K137" s="158">
        <f t="shared" si="80"/>
        <v>2579842</v>
      </c>
      <c r="L137" s="158">
        <f t="shared" si="80"/>
        <v>2974087</v>
      </c>
      <c r="M137" s="158">
        <f t="shared" si="80"/>
        <v>4488682</v>
      </c>
      <c r="N137" s="158">
        <f t="shared" si="80"/>
        <v>56124504</v>
      </c>
      <c r="P137" s="32">
        <f>+M137-I137</f>
        <v>2288095</v>
      </c>
    </row>
    <row r="138" spans="1:16" s="40" customFormat="1" ht="12" thickBot="1">
      <c r="A138" s="38"/>
      <c r="B138" s="39">
        <f t="shared" ref="B138:N138" si="81">+B137/B17</f>
        <v>2.3448285367371983E-2</v>
      </c>
      <c r="C138" s="39">
        <f t="shared" si="81"/>
        <v>4.8987498576222824E-2</v>
      </c>
      <c r="D138" s="39">
        <f>+D137/D17</f>
        <v>1.4902742577573977E-2</v>
      </c>
      <c r="E138" s="39">
        <f t="shared" si="81"/>
        <v>9.9858984712651172E-3</v>
      </c>
      <c r="F138" s="39">
        <f t="shared" si="81"/>
        <v>1.8952387596913967E-2</v>
      </c>
      <c r="G138" s="39">
        <f t="shared" si="81"/>
        <v>3.5919858674051286E-2</v>
      </c>
      <c r="H138" s="39">
        <f t="shared" si="81"/>
        <v>9.995893704765212E-3</v>
      </c>
      <c r="I138" s="39">
        <f t="shared" si="81"/>
        <v>7.8945587862050935E-3</v>
      </c>
      <c r="J138" s="39">
        <f t="shared" si="81"/>
        <v>2.0368540084748917E-2</v>
      </c>
      <c r="K138" s="39">
        <f t="shared" si="81"/>
        <v>9.3660091652576737E-3</v>
      </c>
      <c r="L138" s="39">
        <f t="shared" si="81"/>
        <v>1.1511918492182645E-2</v>
      </c>
      <c r="M138" s="39">
        <f t="shared" si="81"/>
        <v>1.6295973455710523E-2</v>
      </c>
      <c r="N138" s="39">
        <f t="shared" si="81"/>
        <v>1.7748112598792776E-2</v>
      </c>
    </row>
    <row r="139" spans="1:16" s="32" customFormat="1" ht="13.5" thickBot="1">
      <c r="A139" s="160" t="s">
        <v>41</v>
      </c>
      <c r="B139" s="160">
        <f>+B137+B107+B83+B34</f>
        <v>190167620.78939998</v>
      </c>
      <c r="C139" s="160">
        <f>+C137+C107+C83+C34</f>
        <v>199150743.46100003</v>
      </c>
      <c r="D139" s="160">
        <f>+D34+D83+D137</f>
        <v>196895904.69386804</v>
      </c>
      <c r="E139" s="160">
        <f t="shared" ref="E139:N139" si="82">+E34+E83+E137</f>
        <v>191503159.33333474</v>
      </c>
      <c r="F139" s="160">
        <f t="shared" si="82"/>
        <v>198507817.69386804</v>
      </c>
      <c r="G139" s="160">
        <f t="shared" si="82"/>
        <v>194436214.33333474</v>
      </c>
      <c r="H139" s="160">
        <f t="shared" si="82"/>
        <v>194658232.69386804</v>
      </c>
      <c r="I139" s="160">
        <f t="shared" si="82"/>
        <v>199283422.69386804</v>
      </c>
      <c r="J139" s="160">
        <f t="shared" si="82"/>
        <v>190327554.33333474</v>
      </c>
      <c r="K139" s="160">
        <f t="shared" si="82"/>
        <v>194575732.69386804</v>
      </c>
      <c r="L139" s="160">
        <f t="shared" si="82"/>
        <v>188039459.33333474</v>
      </c>
      <c r="M139" s="160">
        <f t="shared" si="82"/>
        <v>200251517.69386804</v>
      </c>
      <c r="N139" s="160">
        <f t="shared" si="82"/>
        <v>2272135939.7065473</v>
      </c>
    </row>
    <row r="140" spans="1:16" s="40" customFormat="1" ht="12" thickBot="1">
      <c r="A140" s="38"/>
      <c r="B140" s="39">
        <f t="shared" ref="B140:N140" si="83">+B139/B7</f>
        <v>0.78536725819309416</v>
      </c>
      <c r="C140" s="39">
        <f t="shared" si="83"/>
        <v>0.8115636795699378</v>
      </c>
      <c r="D140" s="39">
        <f t="shared" si="83"/>
        <v>0.70331589564350339</v>
      </c>
      <c r="E140" s="39">
        <f t="shared" si="83"/>
        <v>0.70092540797251002</v>
      </c>
      <c r="F140" s="39">
        <f t="shared" si="83"/>
        <v>0.70894498458321997</v>
      </c>
      <c r="G140" s="39">
        <f t="shared" si="83"/>
        <v>0.71166075447873844</v>
      </c>
      <c r="H140" s="39">
        <f t="shared" si="83"/>
        <v>0.69149232682798067</v>
      </c>
      <c r="I140" s="39">
        <f t="shared" si="83"/>
        <v>0.71171495747978186</v>
      </c>
      <c r="J140" s="39">
        <f t="shared" si="83"/>
        <v>0.73314075340571339</v>
      </c>
      <c r="K140" s="39">
        <f t="shared" si="83"/>
        <v>0.7031895079174949</v>
      </c>
      <c r="L140" s="39">
        <f t="shared" si="83"/>
        <v>0.72432702331791998</v>
      </c>
      <c r="M140" s="39">
        <f t="shared" si="83"/>
        <v>0.72370158517368022</v>
      </c>
      <c r="N140" s="39">
        <f t="shared" si="83"/>
        <v>0.70387318613541205</v>
      </c>
    </row>
    <row r="141" spans="1:16" s="1" customFormat="1" ht="13.5" thickBot="1">
      <c r="A141" s="8" t="s">
        <v>42</v>
      </c>
      <c r="B141" s="41">
        <f t="shared" ref="B141:N141" si="84">+B7-B139</f>
        <v>51970842.210600019</v>
      </c>
      <c r="C141" s="41">
        <f t="shared" si="84"/>
        <v>46240651.538999975</v>
      </c>
      <c r="D141" s="41">
        <f>+D7-D139</f>
        <v>83057820.102465272</v>
      </c>
      <c r="E141" s="41">
        <f t="shared" si="84"/>
        <v>81711589.561665237</v>
      </c>
      <c r="F141" s="41">
        <f t="shared" si="84"/>
        <v>81496727.102465272</v>
      </c>
      <c r="G141" s="41">
        <f t="shared" si="84"/>
        <v>78778534.561665237</v>
      </c>
      <c r="H141" s="42">
        <f t="shared" si="84"/>
        <v>86846312.102465272</v>
      </c>
      <c r="I141" s="41">
        <f t="shared" si="84"/>
        <v>80721122.102465272</v>
      </c>
      <c r="J141" s="41">
        <f t="shared" si="84"/>
        <v>69278194.561665267</v>
      </c>
      <c r="K141" s="41">
        <f t="shared" si="84"/>
        <v>82128812.102465272</v>
      </c>
      <c r="L141" s="41">
        <f t="shared" si="84"/>
        <v>71566289.561665267</v>
      </c>
      <c r="M141" s="41">
        <f t="shared" si="84"/>
        <v>76453027.102465272</v>
      </c>
      <c r="N141" s="41">
        <f t="shared" si="84"/>
        <v>955911362.65145254</v>
      </c>
    </row>
    <row r="142" spans="1:16" s="40" customFormat="1" ht="12" thickBot="1">
      <c r="A142" s="38"/>
      <c r="B142" s="39">
        <f t="shared" ref="B142:N142" si="85">+B141/B7</f>
        <v>0.21463274180690584</v>
      </c>
      <c r="C142" s="39">
        <f t="shared" si="85"/>
        <v>0.18843632043006225</v>
      </c>
      <c r="D142" s="39">
        <f t="shared" si="85"/>
        <v>0.29668410435649656</v>
      </c>
      <c r="E142" s="39">
        <f t="shared" si="85"/>
        <v>0.29907459202748998</v>
      </c>
      <c r="F142" s="39">
        <f t="shared" si="85"/>
        <v>0.29105501541678003</v>
      </c>
      <c r="G142" s="39">
        <f t="shared" si="85"/>
        <v>0.28833924552126161</v>
      </c>
      <c r="H142" s="39">
        <f t="shared" si="85"/>
        <v>0.30850767317201933</v>
      </c>
      <c r="I142" s="39">
        <f t="shared" si="85"/>
        <v>0.28828504252021814</v>
      </c>
      <c r="J142" s="39">
        <f t="shared" si="85"/>
        <v>0.26685924659428667</v>
      </c>
      <c r="K142" s="39">
        <f t="shared" si="85"/>
        <v>0.2968104920825051</v>
      </c>
      <c r="L142" s="39">
        <f t="shared" si="85"/>
        <v>0.27567297668208007</v>
      </c>
      <c r="M142" s="39">
        <f t="shared" si="85"/>
        <v>0.27629841482631973</v>
      </c>
      <c r="N142" s="39">
        <f t="shared" si="85"/>
        <v>0.29612681386458789</v>
      </c>
    </row>
    <row r="143" spans="1:16" s="1" customFormat="1" ht="13.5" thickBot="1">
      <c r="A143" s="155" t="s">
        <v>282</v>
      </c>
      <c r="B143" s="23"/>
      <c r="C143" s="23"/>
      <c r="D143" s="23"/>
      <c r="E143" s="23"/>
      <c r="F143" s="23"/>
      <c r="G143" s="23"/>
      <c r="H143" s="24"/>
      <c r="I143" s="23"/>
      <c r="J143" s="23"/>
      <c r="K143" s="23"/>
      <c r="L143" s="23"/>
      <c r="M143" s="23"/>
      <c r="N143" s="23"/>
    </row>
    <row r="144" spans="1:16" s="1" customFormat="1" ht="13.5" thickBot="1">
      <c r="A144" s="155" t="s">
        <v>43</v>
      </c>
      <c r="B144" s="25"/>
      <c r="C144" s="25"/>
      <c r="D144" s="25"/>
      <c r="E144" s="25"/>
      <c r="F144" s="25"/>
      <c r="G144" s="25"/>
      <c r="H144" s="26"/>
      <c r="I144" s="25"/>
      <c r="J144" s="25"/>
      <c r="K144" s="25"/>
      <c r="L144" s="25"/>
      <c r="M144" s="25"/>
      <c r="N144" s="25"/>
    </row>
    <row r="145" spans="1:14">
      <c r="A145" s="27" t="s">
        <v>15</v>
      </c>
      <c r="B145" s="29">
        <v>6200000</v>
      </c>
      <c r="C145" s="29">
        <v>6200000</v>
      </c>
      <c r="D145" s="29">
        <v>6200000</v>
      </c>
      <c r="E145" s="29">
        <v>6200000</v>
      </c>
      <c r="F145" s="29">
        <v>6200000</v>
      </c>
      <c r="G145" s="29">
        <v>6200000</v>
      </c>
      <c r="H145" s="29">
        <v>6200000</v>
      </c>
      <c r="I145" s="29">
        <v>6200000</v>
      </c>
      <c r="J145" s="29">
        <v>6200000</v>
      </c>
      <c r="K145" s="29">
        <v>6200000</v>
      </c>
      <c r="L145" s="29">
        <v>6200000</v>
      </c>
      <c r="M145" s="29">
        <v>6200000</v>
      </c>
      <c r="N145" s="17">
        <f t="shared" ref="N145:N150" si="86">SUM(B145:M145)</f>
        <v>74400000</v>
      </c>
    </row>
    <row r="146" spans="1:14">
      <c r="A146" s="27" t="s">
        <v>44</v>
      </c>
      <c r="B146" s="29">
        <v>57627</v>
      </c>
      <c r="C146" s="29">
        <f>59000+46607</f>
        <v>105607</v>
      </c>
      <c r="D146" s="29">
        <v>96000</v>
      </c>
      <c r="E146" s="29">
        <v>96000</v>
      </c>
      <c r="F146" s="29">
        <v>96000</v>
      </c>
      <c r="G146" s="29">
        <v>96000</v>
      </c>
      <c r="H146" s="29">
        <v>96000</v>
      </c>
      <c r="I146" s="29">
        <v>96000</v>
      </c>
      <c r="J146" s="29">
        <v>96000</v>
      </c>
      <c r="K146" s="29">
        <v>96000</v>
      </c>
      <c r="L146" s="29">
        <v>96000</v>
      </c>
      <c r="M146" s="29">
        <v>96000</v>
      </c>
      <c r="N146" s="17">
        <f t="shared" si="86"/>
        <v>1123234</v>
      </c>
    </row>
    <row r="147" spans="1:14">
      <c r="A147" s="27" t="s">
        <v>45</v>
      </c>
      <c r="B147" s="29"/>
      <c r="C147" s="29">
        <v>1360375</v>
      </c>
      <c r="D147" s="29"/>
      <c r="E147" s="29"/>
      <c r="F147" s="29"/>
      <c r="G147" s="29"/>
      <c r="H147" s="16"/>
      <c r="I147" s="29"/>
      <c r="J147" s="29"/>
      <c r="K147" s="29"/>
      <c r="L147" s="29"/>
      <c r="M147" s="29"/>
      <c r="N147" s="17">
        <f t="shared" si="86"/>
        <v>1360375</v>
      </c>
    </row>
    <row r="148" spans="1:14">
      <c r="A148" s="27" t="s">
        <v>46</v>
      </c>
      <c r="B148" s="29">
        <v>269500</v>
      </c>
      <c r="C148" s="29">
        <v>245300</v>
      </c>
      <c r="D148" s="29">
        <v>257400</v>
      </c>
      <c r="E148" s="29">
        <v>257400</v>
      </c>
      <c r="F148" s="29">
        <v>257400</v>
      </c>
      <c r="G148" s="29">
        <v>257400</v>
      </c>
      <c r="H148" s="29">
        <v>257400</v>
      </c>
      <c r="I148" s="29">
        <v>257400</v>
      </c>
      <c r="J148" s="29">
        <v>257400</v>
      </c>
      <c r="K148" s="29">
        <v>257400</v>
      </c>
      <c r="L148" s="29">
        <v>257400</v>
      </c>
      <c r="M148" s="29">
        <v>257400</v>
      </c>
      <c r="N148" s="17">
        <f t="shared" si="86"/>
        <v>3088800</v>
      </c>
    </row>
    <row r="149" spans="1:14">
      <c r="A149" s="27" t="s">
        <v>47</v>
      </c>
      <c r="B149" s="29">
        <v>751704</v>
      </c>
      <c r="C149" s="29">
        <v>991755</v>
      </c>
      <c r="D149" s="29">
        <v>895000</v>
      </c>
      <c r="E149" s="29">
        <v>895000</v>
      </c>
      <c r="F149" s="29">
        <v>895000</v>
      </c>
      <c r="G149" s="29">
        <v>895000</v>
      </c>
      <c r="H149" s="29">
        <v>895000</v>
      </c>
      <c r="I149" s="29">
        <v>895000</v>
      </c>
      <c r="J149" s="29">
        <v>895000</v>
      </c>
      <c r="K149" s="29">
        <v>895000</v>
      </c>
      <c r="L149" s="29">
        <v>895000</v>
      </c>
      <c r="M149" s="29">
        <v>895000</v>
      </c>
      <c r="N149" s="17">
        <f t="shared" si="86"/>
        <v>10693459</v>
      </c>
    </row>
    <row r="150" spans="1:14" ht="13.5" thickBot="1">
      <c r="A150" s="27" t="s">
        <v>48</v>
      </c>
      <c r="B150" s="29"/>
      <c r="C150" s="29">
        <v>600</v>
      </c>
      <c r="D150" s="29"/>
      <c r="E150" s="29"/>
      <c r="F150" s="29"/>
      <c r="G150" s="29"/>
      <c r="H150" s="16"/>
      <c r="I150" s="29"/>
      <c r="J150" s="29"/>
      <c r="K150" s="29"/>
      <c r="L150" s="29"/>
      <c r="M150" s="29"/>
      <c r="N150" s="17">
        <f t="shared" si="86"/>
        <v>600</v>
      </c>
    </row>
    <row r="151" spans="1:14" s="1" customFormat="1" ht="13.5" thickBot="1">
      <c r="A151" s="155" t="s">
        <v>49</v>
      </c>
      <c r="B151" s="156">
        <f t="shared" ref="B151:M151" si="87">SUM(B145:B150)</f>
        <v>7278831</v>
      </c>
      <c r="C151" s="156">
        <f t="shared" si="87"/>
        <v>8903637</v>
      </c>
      <c r="D151" s="156">
        <f>SUM(D145:D150)</f>
        <v>7448400</v>
      </c>
      <c r="E151" s="156">
        <f t="shared" si="87"/>
        <v>7448400</v>
      </c>
      <c r="F151" s="156">
        <f t="shared" si="87"/>
        <v>7448400</v>
      </c>
      <c r="G151" s="156">
        <f t="shared" si="87"/>
        <v>7448400</v>
      </c>
      <c r="H151" s="157">
        <f>SUM(H145:H150)</f>
        <v>7448400</v>
      </c>
      <c r="I151" s="156">
        <f t="shared" si="87"/>
        <v>7448400</v>
      </c>
      <c r="J151" s="156">
        <f t="shared" si="87"/>
        <v>7448400</v>
      </c>
      <c r="K151" s="156">
        <f t="shared" si="87"/>
        <v>7448400</v>
      </c>
      <c r="L151" s="156">
        <f t="shared" si="87"/>
        <v>7448400</v>
      </c>
      <c r="M151" s="156">
        <f t="shared" si="87"/>
        <v>7448400</v>
      </c>
      <c r="N151" s="156">
        <f>SUM(N145:N150)</f>
        <v>90666468</v>
      </c>
    </row>
    <row r="152" spans="1:14" s="40" customFormat="1" ht="12" thickBot="1">
      <c r="A152" s="38">
        <v>0.03</v>
      </c>
      <c r="B152" s="39">
        <f t="shared" ref="B152:N152" si="88">+B151/B7</f>
        <v>3.0060614533594359E-2</v>
      </c>
      <c r="C152" s="39">
        <f t="shared" si="88"/>
        <v>3.6283411649377519E-2</v>
      </c>
      <c r="D152" s="39">
        <f t="shared" si="88"/>
        <v>2.6605825678578558E-2</v>
      </c>
      <c r="E152" s="39">
        <f t="shared" si="88"/>
        <v>2.7262071429615675E-2</v>
      </c>
      <c r="F152" s="39">
        <f t="shared" si="88"/>
        <v>2.6600996799597439E-2</v>
      </c>
      <c r="G152" s="39">
        <f t="shared" si="88"/>
        <v>2.7262071429615675E-2</v>
      </c>
      <c r="H152" s="39">
        <f t="shared" si="88"/>
        <v>2.6459253101540042E-2</v>
      </c>
      <c r="I152" s="39">
        <f t="shared" si="88"/>
        <v>2.6600996799597439E-2</v>
      </c>
      <c r="J152" s="39">
        <f t="shared" si="88"/>
        <v>2.8691198217696542E-2</v>
      </c>
      <c r="K152" s="39">
        <f t="shared" si="88"/>
        <v>2.6918242363826547E-2</v>
      </c>
      <c r="L152" s="39">
        <f t="shared" si="88"/>
        <v>2.8691198217696542E-2</v>
      </c>
      <c r="M152" s="39">
        <f t="shared" si="88"/>
        <v>2.6918242363826547E-2</v>
      </c>
      <c r="N152" s="39">
        <f t="shared" si="88"/>
        <v>2.8087093994493401E-2</v>
      </c>
    </row>
    <row r="153" spans="1:14" s="40" customFormat="1" ht="12" thickBot="1">
      <c r="A153" s="38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161"/>
      <c r="N153" s="39"/>
    </row>
    <row r="154" spans="1:14" s="32" customFormat="1" ht="13.5" thickBot="1">
      <c r="A154" s="159" t="s">
        <v>57</v>
      </c>
      <c r="B154" s="159">
        <f>+B141-B151</f>
        <v>44692011.210600019</v>
      </c>
      <c r="C154" s="159">
        <f>+C141-C151</f>
        <v>37337014.538999975</v>
      </c>
      <c r="D154" s="159">
        <f>+D7-D34-D58-D81-D107-D151</f>
        <v>47697701.700275838</v>
      </c>
      <c r="E154" s="159">
        <f t="shared" ref="E154:N154" si="89">+E7-E34-E58-E81-E107-E151</f>
        <v>45870969.026914269</v>
      </c>
      <c r="F154" s="159">
        <f t="shared" si="89"/>
        <v>48265492.384275869</v>
      </c>
      <c r="G154" s="159">
        <f t="shared" si="89"/>
        <v>49517914.026914269</v>
      </c>
      <c r="H154" s="159">
        <f t="shared" si="89"/>
        <v>51064792.384275869</v>
      </c>
      <c r="I154" s="159">
        <f t="shared" si="89"/>
        <v>44287547.384275869</v>
      </c>
      <c r="J154" s="159">
        <f t="shared" si="89"/>
        <v>36307718.226914264</v>
      </c>
      <c r="K154" s="159">
        <f t="shared" si="89"/>
        <v>46120032.384275869</v>
      </c>
      <c r="L154" s="159">
        <f t="shared" si="89"/>
        <v>36207887.226914264</v>
      </c>
      <c r="M154" s="159">
        <f t="shared" si="89"/>
        <v>42253256.384275869</v>
      </c>
      <c r="N154" s="159">
        <f t="shared" si="89"/>
        <v>579621193.88032269</v>
      </c>
    </row>
    <row r="155" spans="1:14" s="40" customFormat="1">
      <c r="A155" s="46"/>
      <c r="B155" s="39">
        <f t="shared" ref="B155:N155" si="90">+B154/B7</f>
        <v>0.18457212727331146</v>
      </c>
      <c r="C155" s="39">
        <f t="shared" si="90"/>
        <v>0.15215290878068474</v>
      </c>
      <c r="D155" s="39">
        <f t="shared" si="90"/>
        <v>0.17037709262477568</v>
      </c>
      <c r="E155" s="39">
        <f t="shared" si="90"/>
        <v>0.16789345821349888</v>
      </c>
      <c r="F155" s="39">
        <f t="shared" si="90"/>
        <v>0.17237396064189853</v>
      </c>
      <c r="G155" s="39">
        <f t="shared" si="90"/>
        <v>0.18124173100898244</v>
      </c>
      <c r="H155" s="39">
        <f t="shared" si="90"/>
        <v>0.18139953094263864</v>
      </c>
      <c r="I155" s="39">
        <f t="shared" si="90"/>
        <v>0.15816724480843433</v>
      </c>
      <c r="J155" s="39">
        <f t="shared" si="90"/>
        <v>0.13985714253808479</v>
      </c>
      <c r="K155" s="39">
        <f t="shared" si="90"/>
        <v>0.16667609279140044</v>
      </c>
      <c r="L155" s="39">
        <f t="shared" si="90"/>
        <v>0.13947259404320389</v>
      </c>
      <c r="M155" s="39">
        <f t="shared" si="90"/>
        <v>0.15270170721401097</v>
      </c>
      <c r="N155" s="39">
        <f t="shared" si="90"/>
        <v>0.17955783778537734</v>
      </c>
    </row>
    <row r="156" spans="1:14" s="43" customFormat="1">
      <c r="A156" s="47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</row>
    <row r="157" spans="1:14"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</row>
    <row r="158" spans="1:14">
      <c r="M158" s="18"/>
    </row>
    <row r="160" spans="1:14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2:13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2:13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7" spans="2:13">
      <c r="M167" s="49">
        <f>+[1]Hoja1!$BW$307-N154</f>
        <v>-72043738.880322695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opLeftCell="A136" workbookViewId="0">
      <selection activeCell="E161" sqref="E161"/>
    </sheetView>
  </sheetViews>
  <sheetFormatPr baseColWidth="10" defaultColWidth="11.42578125" defaultRowHeight="12.75"/>
  <cols>
    <col min="1" max="1" width="39.5703125" style="2" customWidth="1"/>
    <col min="2" max="2" width="13.5703125" style="2" customWidth="1"/>
    <col min="3" max="3" width="15.28515625" style="2" customWidth="1"/>
    <col min="4" max="13" width="13.5703125" style="2" customWidth="1"/>
    <col min="14" max="14" width="15.42578125" style="2" bestFit="1" customWidth="1"/>
    <col min="15" max="15" width="4.5703125" style="2" customWidth="1"/>
    <col min="16" max="16" width="11.85546875" style="2" bestFit="1" customWidth="1"/>
    <col min="17" max="16384" width="11.42578125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>
      <c r="A3" s="1"/>
      <c r="B3" s="1"/>
      <c r="C3" s="1"/>
      <c r="D3" s="1"/>
      <c r="E3" s="1"/>
      <c r="F3" s="3"/>
      <c r="G3" s="1"/>
      <c r="H3" s="1"/>
      <c r="I3" s="1"/>
      <c r="J3" s="1"/>
      <c r="K3" s="1"/>
      <c r="L3" s="1"/>
      <c r="M3" s="1"/>
      <c r="N3" s="1"/>
    </row>
    <row r="4" spans="1:15" ht="13.5" thickBot="1">
      <c r="A4" s="1"/>
      <c r="B4" s="4" t="s">
        <v>243</v>
      </c>
      <c r="C4" s="4" t="s">
        <v>243</v>
      </c>
      <c r="D4" s="1"/>
      <c r="E4" s="1"/>
      <c r="F4" s="1"/>
      <c r="G4" s="1"/>
      <c r="H4" s="1"/>
      <c r="I4" s="1"/>
      <c r="J4" s="1"/>
      <c r="K4" s="3"/>
      <c r="L4" s="3"/>
      <c r="M4" s="3"/>
      <c r="N4" s="1"/>
    </row>
    <row r="5" spans="1:15" ht="13.5" thickBot="1">
      <c r="A5" s="4"/>
      <c r="B5" s="5" t="s">
        <v>58</v>
      </c>
      <c r="C5" s="5" t="s">
        <v>59</v>
      </c>
      <c r="D5" s="5" t="s">
        <v>60</v>
      </c>
      <c r="E5" s="5" t="s">
        <v>61</v>
      </c>
      <c r="F5" s="5" t="s">
        <v>62</v>
      </c>
      <c r="G5" s="5" t="s">
        <v>63</v>
      </c>
      <c r="H5" s="5" t="s">
        <v>64</v>
      </c>
      <c r="I5" s="5" t="s">
        <v>65</v>
      </c>
      <c r="J5" s="5" t="s">
        <v>66</v>
      </c>
      <c r="K5" s="5" t="s">
        <v>67</v>
      </c>
      <c r="L5" s="5" t="s">
        <v>68</v>
      </c>
      <c r="M5" s="5" t="s">
        <v>69</v>
      </c>
      <c r="N5" s="5" t="s">
        <v>70</v>
      </c>
    </row>
    <row r="6" spans="1:15" s="6" customFormat="1" ht="13.5" thickBot="1">
      <c r="B6" s="7">
        <v>44197</v>
      </c>
      <c r="C6" s="7">
        <v>44228</v>
      </c>
      <c r="D6" s="7">
        <v>44256</v>
      </c>
      <c r="E6" s="7">
        <v>44287</v>
      </c>
      <c r="F6" s="7">
        <v>44317</v>
      </c>
      <c r="G6" s="7">
        <v>44348</v>
      </c>
      <c r="H6" s="7">
        <v>44378</v>
      </c>
      <c r="I6" s="7">
        <v>44409</v>
      </c>
      <c r="J6" s="7">
        <v>44440</v>
      </c>
      <c r="K6" s="7">
        <v>44470</v>
      </c>
      <c r="L6" s="7">
        <v>44501</v>
      </c>
      <c r="M6" s="7">
        <v>44531</v>
      </c>
      <c r="N6" s="7" t="s">
        <v>71</v>
      </c>
    </row>
    <row r="7" spans="1:15" s="1" customFormat="1" ht="13.5" thickBot="1">
      <c r="A7" s="8" t="s">
        <v>2</v>
      </c>
      <c r="B7" s="9">
        <f t="shared" ref="B7:N7" si="0">+B17+B27</f>
        <v>242138463</v>
      </c>
      <c r="C7" s="9">
        <f t="shared" si="0"/>
        <v>245391395</v>
      </c>
      <c r="D7" s="9">
        <f t="shared" si="0"/>
        <v>279953724.79633331</v>
      </c>
      <c r="E7" s="9">
        <f t="shared" si="0"/>
        <v>273214748.89499998</v>
      </c>
      <c r="F7" s="9">
        <f t="shared" si="0"/>
        <v>280004544.79633331</v>
      </c>
      <c r="G7" s="9">
        <f t="shared" si="0"/>
        <v>273214748.89499998</v>
      </c>
      <c r="H7" s="10">
        <f t="shared" si="0"/>
        <v>281504544.79633331</v>
      </c>
      <c r="I7" s="9">
        <f t="shared" si="0"/>
        <v>280004544.79633331</v>
      </c>
      <c r="J7" s="9">
        <f t="shared" si="0"/>
        <v>259605748.89500001</v>
      </c>
      <c r="K7" s="9">
        <f t="shared" si="0"/>
        <v>276704544.79633331</v>
      </c>
      <c r="L7" s="9">
        <f t="shared" si="0"/>
        <v>259605748.89500001</v>
      </c>
      <c r="M7" s="9">
        <f t="shared" si="0"/>
        <v>276704544.79633331</v>
      </c>
      <c r="N7" s="9">
        <f t="shared" si="0"/>
        <v>3228047302.3579998</v>
      </c>
    </row>
    <row r="8" spans="1:15" s="1" customFormat="1" ht="13.5" thickBot="1">
      <c r="A8" s="11" t="s">
        <v>3</v>
      </c>
      <c r="B8" s="12"/>
      <c r="C8" s="12"/>
      <c r="D8" s="12"/>
      <c r="E8" s="12"/>
      <c r="F8" s="12"/>
      <c r="G8" s="12"/>
      <c r="H8" s="13"/>
      <c r="I8" s="12"/>
      <c r="J8" s="12"/>
      <c r="K8" s="12"/>
      <c r="L8" s="12"/>
      <c r="M8" s="12"/>
      <c r="N8" s="12"/>
    </row>
    <row r="9" spans="1:15">
      <c r="A9" s="14" t="s">
        <v>4</v>
      </c>
      <c r="B9" s="15">
        <v>164807160</v>
      </c>
      <c r="C9" s="15">
        <v>148399352</v>
      </c>
      <c r="D9" s="15">
        <f>+ventas!F33</f>
        <v>196110901.79633331</v>
      </c>
      <c r="E9" s="15">
        <f>+ventas!H33</f>
        <v>179990705.89500001</v>
      </c>
      <c r="F9" s="15">
        <f>+ventas!J33</f>
        <v>196110901.79633331</v>
      </c>
      <c r="G9" s="15">
        <f>+ventas!L33</f>
        <v>179990705.89500001</v>
      </c>
      <c r="H9" s="15">
        <f>+ventas!P33</f>
        <v>196110901.79633331</v>
      </c>
      <c r="I9" s="15">
        <f>+ventas!P33</f>
        <v>196110901.79633331</v>
      </c>
      <c r="J9" s="15">
        <f>+ventas!R33</f>
        <v>179990705.89500001</v>
      </c>
      <c r="K9" s="15">
        <f>+ventas!T33</f>
        <v>196110901.79633331</v>
      </c>
      <c r="L9" s="15">
        <f>+ventas!V33</f>
        <v>179990705.89500001</v>
      </c>
      <c r="M9" s="15">
        <f>+ventas!X33</f>
        <v>196110901.79633331</v>
      </c>
      <c r="N9" s="17">
        <f>SUM(B9:M9)</f>
        <v>2209834746.3579998</v>
      </c>
    </row>
    <row r="10" spans="1:15">
      <c r="A10" s="14" t="s">
        <v>5</v>
      </c>
      <c r="B10" s="15">
        <v>44377651</v>
      </c>
      <c r="C10" s="15">
        <v>44816118</v>
      </c>
      <c r="D10" s="15">
        <f>+ventas!E36</f>
        <v>50600000.000000007</v>
      </c>
      <c r="E10" s="15">
        <f>+ventas!F36</f>
        <v>47300000.000000007</v>
      </c>
      <c r="F10" s="15">
        <f>+ventas!G36</f>
        <v>50600000.000000007</v>
      </c>
      <c r="G10" s="15">
        <f>+ventas!H36</f>
        <v>47300000.000000007</v>
      </c>
      <c r="H10" s="15">
        <f>+ventas!I36</f>
        <v>47300000.000000007</v>
      </c>
      <c r="I10" s="15">
        <f>+ventas!J36</f>
        <v>50600000.000000007</v>
      </c>
      <c r="J10" s="15">
        <f>+ventas!K36</f>
        <v>47300000.000000007</v>
      </c>
      <c r="K10" s="15">
        <f>+ventas!L36</f>
        <v>47300000.000000007</v>
      </c>
      <c r="L10" s="15">
        <f>+ventas!M36</f>
        <v>47300000.000000007</v>
      </c>
      <c r="M10" s="15">
        <f>+ventas!N36</f>
        <v>47300000.000000007</v>
      </c>
      <c r="N10" s="17">
        <f t="shared" ref="N10:N16" si="1">SUM(B10:M10)</f>
        <v>572093769</v>
      </c>
    </row>
    <row r="11" spans="1:15">
      <c r="A11" s="14" t="s">
        <v>6</v>
      </c>
      <c r="B11" s="15">
        <v>0</v>
      </c>
      <c r="C11" s="15">
        <v>0</v>
      </c>
      <c r="D11" s="15"/>
      <c r="E11" s="15"/>
      <c r="F11" s="15"/>
      <c r="G11" s="15"/>
      <c r="H11" s="16"/>
      <c r="I11" s="15"/>
      <c r="J11" s="15"/>
      <c r="K11" s="15"/>
      <c r="L11" s="15"/>
      <c r="M11" s="15"/>
      <c r="N11" s="17">
        <f t="shared" si="1"/>
        <v>0</v>
      </c>
      <c r="O11" s="18"/>
    </row>
    <row r="12" spans="1:15">
      <c r="A12" s="14" t="s">
        <v>7</v>
      </c>
      <c r="B12" s="15">
        <v>0</v>
      </c>
      <c r="C12" s="15">
        <v>581400</v>
      </c>
      <c r="D12" s="15"/>
      <c r="E12" s="15"/>
      <c r="F12" s="15"/>
      <c r="G12" s="15"/>
      <c r="H12" s="16"/>
      <c r="I12" s="15"/>
      <c r="J12" s="15"/>
      <c r="K12" s="15"/>
      <c r="L12" s="15"/>
      <c r="M12" s="15"/>
      <c r="N12" s="17">
        <f t="shared" si="1"/>
        <v>581400</v>
      </c>
    </row>
    <row r="13" spans="1:15">
      <c r="A13" s="14" t="s">
        <v>8</v>
      </c>
      <c r="B13" s="15">
        <v>406400</v>
      </c>
      <c r="C13" s="15">
        <v>1219239</v>
      </c>
      <c r="D13" s="15">
        <v>1117600</v>
      </c>
      <c r="E13" s="15">
        <v>1168420</v>
      </c>
      <c r="F13" s="15">
        <v>1168420</v>
      </c>
      <c r="G13" s="15">
        <v>1168420</v>
      </c>
      <c r="H13" s="15">
        <v>1168420</v>
      </c>
      <c r="I13" s="15">
        <v>1168420</v>
      </c>
      <c r="J13" s="15">
        <v>1168420</v>
      </c>
      <c r="K13" s="15">
        <v>1168420</v>
      </c>
      <c r="L13" s="15">
        <v>1168420</v>
      </c>
      <c r="M13" s="15">
        <v>1168420</v>
      </c>
      <c r="N13" s="17">
        <f t="shared" si="1"/>
        <v>13259019</v>
      </c>
    </row>
    <row r="14" spans="1:15">
      <c r="A14" s="14" t="s">
        <v>9</v>
      </c>
      <c r="B14" s="15">
        <v>20442954</v>
      </c>
      <c r="C14" s="15">
        <v>22762236</v>
      </c>
      <c r="D14" s="15">
        <f>+ventas!E40</f>
        <v>21597702</v>
      </c>
      <c r="E14" s="15">
        <f>+ventas!F40</f>
        <v>20619102</v>
      </c>
      <c r="F14" s="15">
        <f>+ventas!G40</f>
        <v>21597702</v>
      </c>
      <c r="G14" s="15">
        <f>+ventas!H40</f>
        <v>20619102</v>
      </c>
      <c r="H14" s="15">
        <f>+ventas!I40</f>
        <v>21597702</v>
      </c>
      <c r="I14" s="15">
        <f>+ventas!J40</f>
        <v>21597702</v>
      </c>
      <c r="J14" s="15">
        <f>+ventas!K40</f>
        <v>20619102</v>
      </c>
      <c r="K14" s="15">
        <f>+ventas!L40</f>
        <v>21597702</v>
      </c>
      <c r="L14" s="15">
        <f>+ventas!M40</f>
        <v>20619102</v>
      </c>
      <c r="M14" s="15">
        <f>+ventas!N40</f>
        <v>21597702</v>
      </c>
      <c r="N14" s="17">
        <f t="shared" si="1"/>
        <v>255267810</v>
      </c>
    </row>
    <row r="15" spans="1:15">
      <c r="A15" s="14" t="s">
        <v>10</v>
      </c>
      <c r="B15" s="15">
        <v>7173138</v>
      </c>
      <c r="C15" s="15">
        <v>7486290</v>
      </c>
      <c r="D15" s="15">
        <f>+ventas!E41</f>
        <v>7329714</v>
      </c>
      <c r="E15" s="15">
        <f>+ventas!F41</f>
        <v>7329714</v>
      </c>
      <c r="F15" s="15">
        <f>+ventas!G41</f>
        <v>7329714</v>
      </c>
      <c r="G15" s="15">
        <f>+ventas!H41</f>
        <v>7329714</v>
      </c>
      <c r="H15" s="15">
        <f>+ventas!I41</f>
        <v>7329714</v>
      </c>
      <c r="I15" s="15">
        <f>+ventas!J41</f>
        <v>7329714</v>
      </c>
      <c r="J15" s="15">
        <f>+ventas!K41</f>
        <v>7329714</v>
      </c>
      <c r="K15" s="15">
        <f>+ventas!L41</f>
        <v>7329714</v>
      </c>
      <c r="L15" s="15">
        <f>+ventas!M41</f>
        <v>7329714</v>
      </c>
      <c r="M15" s="15">
        <f>+ventas!N41</f>
        <v>7329714</v>
      </c>
      <c r="N15" s="17">
        <f t="shared" si="1"/>
        <v>87956568</v>
      </c>
    </row>
    <row r="16" spans="1:15" ht="13.5" thickBot="1">
      <c r="A16" s="14" t="s">
        <v>11</v>
      </c>
      <c r="B16" s="15">
        <v>1933253</v>
      </c>
      <c r="C16" s="15">
        <v>1947885</v>
      </c>
      <c r="D16" s="15">
        <f>+ventas!E42</f>
        <v>1940569</v>
      </c>
      <c r="E16" s="15">
        <f>+ventas!F42</f>
        <v>1940569</v>
      </c>
      <c r="F16" s="15">
        <f>+ventas!G42</f>
        <v>1940569</v>
      </c>
      <c r="G16" s="15">
        <f>+ventas!H42</f>
        <v>1940569</v>
      </c>
      <c r="H16" s="15">
        <f>+ventas!I42</f>
        <v>1940569</v>
      </c>
      <c r="I16" s="15">
        <f>+ventas!J42</f>
        <v>1940569</v>
      </c>
      <c r="J16" s="15">
        <f>+ventas!K42</f>
        <v>1940569</v>
      </c>
      <c r="K16" s="15">
        <f>+ventas!L42</f>
        <v>1940569</v>
      </c>
      <c r="L16" s="15">
        <f>+ventas!M42</f>
        <v>1940569</v>
      </c>
      <c r="M16" s="15">
        <f>+ventas!N42</f>
        <v>1940569</v>
      </c>
      <c r="N16" s="17">
        <f t="shared" si="1"/>
        <v>23286828</v>
      </c>
    </row>
    <row r="17" spans="1:15" s="1" customFormat="1" ht="13.5" thickBot="1">
      <c r="A17" s="11" t="s">
        <v>12</v>
      </c>
      <c r="B17" s="19">
        <f t="shared" ref="B17:N17" si="2">SUM(B9:B16)</f>
        <v>239140556</v>
      </c>
      <c r="C17" s="19">
        <f t="shared" si="2"/>
        <v>227212520</v>
      </c>
      <c r="D17" s="19">
        <f t="shared" si="2"/>
        <v>278696486.79633331</v>
      </c>
      <c r="E17" s="19">
        <f t="shared" si="2"/>
        <v>258348510.89500001</v>
      </c>
      <c r="F17" s="19">
        <f t="shared" si="2"/>
        <v>278747306.79633331</v>
      </c>
      <c r="G17" s="19">
        <f t="shared" si="2"/>
        <v>258348510.89500001</v>
      </c>
      <c r="H17" s="20">
        <f t="shared" si="2"/>
        <v>275447306.79633331</v>
      </c>
      <c r="I17" s="19">
        <f t="shared" si="2"/>
        <v>278747306.79633331</v>
      </c>
      <c r="J17" s="19">
        <f t="shared" si="2"/>
        <v>258348510.89500001</v>
      </c>
      <c r="K17" s="19">
        <f t="shared" si="2"/>
        <v>275447306.79633331</v>
      </c>
      <c r="L17" s="19">
        <f t="shared" si="2"/>
        <v>258348510.89500001</v>
      </c>
      <c r="M17" s="19">
        <f t="shared" si="2"/>
        <v>275447306.79633331</v>
      </c>
      <c r="N17" s="19">
        <f t="shared" si="2"/>
        <v>3162280140.3579998</v>
      </c>
      <c r="O17" s="3"/>
    </row>
    <row r="18" spans="1:15" s="1" customFormat="1" ht="13.5" thickBot="1">
      <c r="A18" s="21"/>
      <c r="B18" s="22">
        <f t="shared" ref="B18:N18" si="3">+B17/B7</f>
        <v>0.98761903845073962</v>
      </c>
      <c r="C18" s="22">
        <f t="shared" si="3"/>
        <v>0.9259188570976582</v>
      </c>
      <c r="D18" s="22">
        <f t="shared" si="3"/>
        <v>0.9955091220846779</v>
      </c>
      <c r="E18" s="22">
        <f t="shared" si="3"/>
        <v>0.94558771786616369</v>
      </c>
      <c r="F18" s="22">
        <f t="shared" si="3"/>
        <v>0.99550993716578962</v>
      </c>
      <c r="G18" s="22">
        <f t="shared" si="3"/>
        <v>0.94558771786616369</v>
      </c>
      <c r="H18" s="22">
        <f t="shared" si="3"/>
        <v>0.97848262803578401</v>
      </c>
      <c r="I18" s="22">
        <f t="shared" si="3"/>
        <v>0.99550993716578962</v>
      </c>
      <c r="J18" s="22">
        <f t="shared" si="3"/>
        <v>0.9951571257364239</v>
      </c>
      <c r="K18" s="22">
        <f t="shared" si="3"/>
        <v>0.99545638832594752</v>
      </c>
      <c r="L18" s="22">
        <f t="shared" si="3"/>
        <v>0.9951571257364239</v>
      </c>
      <c r="M18" s="22">
        <f t="shared" si="3"/>
        <v>0.99545638832594752</v>
      </c>
      <c r="N18" s="22">
        <f t="shared" si="3"/>
        <v>0.97962633262779053</v>
      </c>
      <c r="O18" s="3"/>
    </row>
    <row r="19" spans="1:15" s="1" customFormat="1" ht="13.5" thickBot="1">
      <c r="A19" s="11" t="s">
        <v>13</v>
      </c>
      <c r="B19" s="23"/>
      <c r="C19" s="23"/>
      <c r="D19" s="23"/>
      <c r="E19" s="23"/>
      <c r="F19" s="23"/>
      <c r="G19" s="23"/>
      <c r="H19" s="24"/>
      <c r="I19" s="23"/>
      <c r="J19" s="23"/>
      <c r="K19" s="23"/>
      <c r="L19" s="23"/>
      <c r="M19" s="23"/>
      <c r="N19" s="23"/>
    </row>
    <row r="20" spans="1:15" s="1" customFormat="1">
      <c r="A20" s="14" t="s">
        <v>14</v>
      </c>
      <c r="B20" s="15">
        <v>84000</v>
      </c>
      <c r="C20" s="15">
        <v>84000</v>
      </c>
      <c r="D20" s="15">
        <v>84000</v>
      </c>
      <c r="E20" s="15">
        <v>84000</v>
      </c>
      <c r="F20" s="15">
        <v>84000</v>
      </c>
      <c r="G20" s="15">
        <v>84000</v>
      </c>
      <c r="H20" s="15">
        <v>84000</v>
      </c>
      <c r="I20" s="15">
        <v>84000</v>
      </c>
      <c r="J20" s="15">
        <v>84000</v>
      </c>
      <c r="K20" s="15">
        <v>84000</v>
      </c>
      <c r="L20" s="15">
        <v>84000</v>
      </c>
      <c r="M20" s="15">
        <v>84000</v>
      </c>
      <c r="N20" s="17">
        <f t="shared" ref="N20:N26" si="4">SUM(B20:M20)</f>
        <v>1008000</v>
      </c>
    </row>
    <row r="21" spans="1:15" s="1" customFormat="1">
      <c r="A21" s="14" t="s">
        <v>16</v>
      </c>
      <c r="B21" s="15">
        <v>241294</v>
      </c>
      <c r="C21" s="15">
        <v>510816</v>
      </c>
      <c r="D21" s="15">
        <v>150000</v>
      </c>
      <c r="E21" s="15">
        <v>150000</v>
      </c>
      <c r="F21" s="15">
        <v>150000</v>
      </c>
      <c r="G21" s="15">
        <v>150000</v>
      </c>
      <c r="H21" s="15">
        <v>150000</v>
      </c>
      <c r="I21" s="15">
        <v>150000</v>
      </c>
      <c r="J21" s="15">
        <v>150000</v>
      </c>
      <c r="K21" s="15">
        <v>150000</v>
      </c>
      <c r="L21" s="15">
        <v>150000</v>
      </c>
      <c r="M21" s="15">
        <v>150000</v>
      </c>
      <c r="N21" s="17">
        <f t="shared" si="4"/>
        <v>2252110</v>
      </c>
    </row>
    <row r="22" spans="1:15" s="1" customFormat="1">
      <c r="A22" s="14" t="s">
        <v>85</v>
      </c>
      <c r="B22" s="15">
        <v>866763</v>
      </c>
      <c r="C22" s="15">
        <v>827197</v>
      </c>
      <c r="D22" s="15">
        <v>966000</v>
      </c>
      <c r="E22" s="15">
        <v>966000</v>
      </c>
      <c r="F22" s="15">
        <v>966000</v>
      </c>
      <c r="G22" s="15">
        <v>966000</v>
      </c>
      <c r="H22" s="15">
        <v>966000</v>
      </c>
      <c r="I22" s="15">
        <v>966000</v>
      </c>
      <c r="J22" s="15">
        <v>966000</v>
      </c>
      <c r="K22" s="15">
        <v>966000</v>
      </c>
      <c r="L22" s="15">
        <v>966000</v>
      </c>
      <c r="M22" s="15">
        <v>966000</v>
      </c>
      <c r="N22" s="17">
        <f t="shared" si="4"/>
        <v>11353960</v>
      </c>
    </row>
    <row r="23" spans="1:15" s="1" customFormat="1">
      <c r="A23" s="14" t="s">
        <v>86</v>
      </c>
      <c r="B23" s="15">
        <v>0</v>
      </c>
      <c r="C23" s="15">
        <v>95000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7">
        <f t="shared" si="4"/>
        <v>95000</v>
      </c>
    </row>
    <row r="24" spans="1:15" s="1" customFormat="1">
      <c r="A24" s="14" t="s">
        <v>87</v>
      </c>
      <c r="B24" s="15">
        <v>0</v>
      </c>
      <c r="C24" s="15">
        <v>13609000</v>
      </c>
      <c r="D24" s="15"/>
      <c r="E24" s="15">
        <v>13609000</v>
      </c>
      <c r="F24" s="15"/>
      <c r="G24" s="15">
        <v>13609000</v>
      </c>
      <c r="H24" s="16"/>
      <c r="I24" s="15">
        <v>0</v>
      </c>
      <c r="J24" s="15"/>
      <c r="K24" s="15">
        <v>0</v>
      </c>
      <c r="L24" s="15"/>
      <c r="M24" s="15">
        <v>0</v>
      </c>
      <c r="N24" s="17">
        <f t="shared" si="4"/>
        <v>40827000</v>
      </c>
    </row>
    <row r="25" spans="1:15" s="1" customFormat="1">
      <c r="A25" s="14" t="s">
        <v>83</v>
      </c>
      <c r="B25" s="15">
        <v>1722565</v>
      </c>
      <c r="C25" s="15">
        <v>2993362</v>
      </c>
      <c r="D25" s="15">
        <v>0</v>
      </c>
      <c r="E25" s="15">
        <v>0</v>
      </c>
      <c r="F25" s="15">
        <v>0</v>
      </c>
      <c r="G25" s="15">
        <v>0</v>
      </c>
      <c r="H25" s="15">
        <v>4800000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7">
        <f t="shared" si="4"/>
        <v>9515927</v>
      </c>
    </row>
    <row r="26" spans="1:15" s="1" customFormat="1" ht="13.5" thickBot="1">
      <c r="A26" s="14" t="s">
        <v>244</v>
      </c>
      <c r="B26" s="15">
        <v>83285</v>
      </c>
      <c r="C26" s="15">
        <v>59500</v>
      </c>
      <c r="D26" s="15">
        <v>57238</v>
      </c>
      <c r="E26" s="15">
        <v>57238</v>
      </c>
      <c r="F26" s="15">
        <v>57238</v>
      </c>
      <c r="G26" s="15">
        <v>57238</v>
      </c>
      <c r="H26" s="15">
        <v>57238</v>
      </c>
      <c r="I26" s="15">
        <v>57238</v>
      </c>
      <c r="J26" s="15">
        <v>57238</v>
      </c>
      <c r="K26" s="15">
        <v>57238</v>
      </c>
      <c r="L26" s="15">
        <v>57238</v>
      </c>
      <c r="M26" s="15">
        <v>57238</v>
      </c>
      <c r="N26" s="17">
        <f t="shared" si="4"/>
        <v>715165</v>
      </c>
    </row>
    <row r="27" spans="1:15" s="1" customFormat="1" ht="13.5" thickBot="1">
      <c r="A27" s="11" t="s">
        <v>17</v>
      </c>
      <c r="B27" s="19">
        <f t="shared" ref="B27:N27" si="5">SUM(B20:B26)</f>
        <v>2997907</v>
      </c>
      <c r="C27" s="19">
        <f t="shared" si="5"/>
        <v>18178875</v>
      </c>
      <c r="D27" s="19">
        <f t="shared" si="5"/>
        <v>1257238</v>
      </c>
      <c r="E27" s="19">
        <f t="shared" si="5"/>
        <v>14866238</v>
      </c>
      <c r="F27" s="19">
        <f t="shared" si="5"/>
        <v>1257238</v>
      </c>
      <c r="G27" s="19">
        <f t="shared" si="5"/>
        <v>14866238</v>
      </c>
      <c r="H27" s="20">
        <f t="shared" si="5"/>
        <v>6057238</v>
      </c>
      <c r="I27" s="19">
        <f t="shared" si="5"/>
        <v>1257238</v>
      </c>
      <c r="J27" s="19">
        <f t="shared" si="5"/>
        <v>1257238</v>
      </c>
      <c r="K27" s="19">
        <f t="shared" si="5"/>
        <v>1257238</v>
      </c>
      <c r="L27" s="19">
        <f t="shared" si="5"/>
        <v>1257238</v>
      </c>
      <c r="M27" s="19">
        <f t="shared" si="5"/>
        <v>1257238</v>
      </c>
      <c r="N27" s="19">
        <f t="shared" si="5"/>
        <v>65767162</v>
      </c>
    </row>
    <row r="28" spans="1:15" s="1" customFormat="1" ht="13.5" thickBot="1">
      <c r="A28" s="21"/>
      <c r="B28" s="22">
        <f t="shared" ref="B28:N28" si="6">+B27/B7</f>
        <v>1.238096154926035E-2</v>
      </c>
      <c r="C28" s="22">
        <f t="shared" si="6"/>
        <v>7.4081142902341787E-2</v>
      </c>
      <c r="D28" s="22">
        <f t="shared" si="6"/>
        <v>4.4908779153220489E-3</v>
      </c>
      <c r="E28" s="22">
        <f t="shared" si="6"/>
        <v>5.4412282133836379E-2</v>
      </c>
      <c r="F28" s="22">
        <f t="shared" si="6"/>
        <v>4.4900628342103384E-3</v>
      </c>
      <c r="G28" s="22">
        <f t="shared" si="6"/>
        <v>5.4412282133836379E-2</v>
      </c>
      <c r="H28" s="22">
        <f t="shared" si="6"/>
        <v>2.1517371964215968E-2</v>
      </c>
      <c r="I28" s="22">
        <f t="shared" si="6"/>
        <v>4.4900628342103384E-3</v>
      </c>
      <c r="J28" s="22">
        <f t="shared" si="6"/>
        <v>4.8428742635761189E-3</v>
      </c>
      <c r="K28" s="22">
        <f t="shared" si="6"/>
        <v>4.5436116740524895E-3</v>
      </c>
      <c r="L28" s="22">
        <f t="shared" si="6"/>
        <v>4.8428742635761189E-3</v>
      </c>
      <c r="M28" s="22">
        <f t="shared" si="6"/>
        <v>4.5436116740524895E-3</v>
      </c>
      <c r="N28" s="22">
        <f t="shared" si="6"/>
        <v>2.0373667372209477E-2</v>
      </c>
    </row>
    <row r="29" spans="1:15" s="1" customFormat="1" ht="13.5" thickBot="1">
      <c r="A29" s="8" t="s">
        <v>18</v>
      </c>
      <c r="B29" s="23"/>
      <c r="C29" s="23"/>
      <c r="D29" s="23"/>
      <c r="E29" s="23"/>
      <c r="F29" s="23"/>
      <c r="G29" s="23"/>
      <c r="H29" s="24"/>
      <c r="I29" s="23"/>
      <c r="J29" s="23"/>
      <c r="K29" s="23"/>
      <c r="L29" s="23"/>
      <c r="M29" s="23"/>
      <c r="N29" s="23"/>
    </row>
    <row r="30" spans="1:15" s="1" customFormat="1" ht="13.5" thickBot="1">
      <c r="A30" s="11" t="s">
        <v>19</v>
      </c>
      <c r="B30" s="25"/>
      <c r="C30" s="25"/>
      <c r="D30" s="25"/>
      <c r="E30" s="25"/>
      <c r="F30" s="25"/>
      <c r="G30" s="25"/>
      <c r="H30" s="26"/>
      <c r="I30" s="25"/>
      <c r="J30" s="25"/>
      <c r="K30" s="25"/>
      <c r="L30" s="25"/>
      <c r="M30" s="25"/>
      <c r="N30" s="25"/>
    </row>
    <row r="31" spans="1:15">
      <c r="A31" s="27" t="s">
        <v>20</v>
      </c>
      <c r="B31" s="28">
        <v>85627238</v>
      </c>
      <c r="C31" s="28">
        <v>90052025.210000008</v>
      </c>
      <c r="D31" s="28">
        <f>+D17*30%</f>
        <v>83608946.038899988</v>
      </c>
      <c r="E31" s="28">
        <f t="shared" ref="E31:M31" si="7">+E17*30%</f>
        <v>77504553.2685</v>
      </c>
      <c r="F31" s="28">
        <f t="shared" si="7"/>
        <v>83624192.038899988</v>
      </c>
      <c r="G31" s="28">
        <f t="shared" si="7"/>
        <v>77504553.2685</v>
      </c>
      <c r="H31" s="28">
        <f t="shared" si="7"/>
        <v>82634192.038899988</v>
      </c>
      <c r="I31" s="28">
        <f t="shared" si="7"/>
        <v>83624192.038899988</v>
      </c>
      <c r="J31" s="28">
        <f t="shared" si="7"/>
        <v>77504553.2685</v>
      </c>
      <c r="K31" s="28">
        <f t="shared" si="7"/>
        <v>82634192.038899988</v>
      </c>
      <c r="L31" s="28">
        <f t="shared" si="7"/>
        <v>77504553.2685</v>
      </c>
      <c r="M31" s="28">
        <f t="shared" si="7"/>
        <v>82634192.038899988</v>
      </c>
      <c r="N31" s="17">
        <f t="shared" ref="N31:N33" si="8">SUM(B31:M31)</f>
        <v>984457382.51740003</v>
      </c>
      <c r="O31" s="18"/>
    </row>
    <row r="32" spans="1:15">
      <c r="A32" s="27" t="s">
        <v>21</v>
      </c>
      <c r="B32" s="29"/>
      <c r="C32" s="29"/>
      <c r="D32" s="29">
        <f>+D17*6%</f>
        <v>16721789.207779998</v>
      </c>
      <c r="E32" s="29">
        <f t="shared" ref="E32:M32" si="9">+E17*6%</f>
        <v>15500910.6537</v>
      </c>
      <c r="F32" s="29">
        <f t="shared" si="9"/>
        <v>16724838.407779999</v>
      </c>
      <c r="G32" s="29">
        <f t="shared" si="9"/>
        <v>15500910.6537</v>
      </c>
      <c r="H32" s="29">
        <f t="shared" si="9"/>
        <v>16526838.407779999</v>
      </c>
      <c r="I32" s="29">
        <f t="shared" si="9"/>
        <v>16724838.407779999</v>
      </c>
      <c r="J32" s="29">
        <f t="shared" si="9"/>
        <v>15500910.6537</v>
      </c>
      <c r="K32" s="29">
        <f t="shared" si="9"/>
        <v>16526838.407779999</v>
      </c>
      <c r="L32" s="29">
        <f t="shared" si="9"/>
        <v>15500910.6537</v>
      </c>
      <c r="M32" s="29">
        <f t="shared" si="9"/>
        <v>16526838.407779999</v>
      </c>
      <c r="N32" s="17">
        <f t="shared" si="8"/>
        <v>161755623.86147997</v>
      </c>
    </row>
    <row r="33" spans="1:15" ht="13.5" thickBot="1">
      <c r="A33" s="14" t="s">
        <v>269</v>
      </c>
      <c r="B33" s="15"/>
      <c r="C33" s="15"/>
      <c r="D33" s="15">
        <f>+D17*4%</f>
        <v>11147859.471853333</v>
      </c>
      <c r="E33" s="15">
        <f t="shared" ref="E33:M33" si="10">+E17*4%</f>
        <v>10333940.435800001</v>
      </c>
      <c r="F33" s="15">
        <f t="shared" si="10"/>
        <v>11149892.271853333</v>
      </c>
      <c r="G33" s="15">
        <f t="shared" si="10"/>
        <v>10333940.435800001</v>
      </c>
      <c r="H33" s="15">
        <f t="shared" si="10"/>
        <v>11017892.271853333</v>
      </c>
      <c r="I33" s="15">
        <f t="shared" si="10"/>
        <v>11149892.271853333</v>
      </c>
      <c r="J33" s="15">
        <f t="shared" si="10"/>
        <v>10333940.435800001</v>
      </c>
      <c r="K33" s="15">
        <f t="shared" si="10"/>
        <v>11017892.271853333</v>
      </c>
      <c r="L33" s="15">
        <f t="shared" si="10"/>
        <v>10333940.435800001</v>
      </c>
      <c r="M33" s="15">
        <f t="shared" si="10"/>
        <v>11017892.271853333</v>
      </c>
      <c r="N33" s="17">
        <f t="shared" si="8"/>
        <v>107837082.57432</v>
      </c>
    </row>
    <row r="34" spans="1:15" s="1" customFormat="1" ht="13.5" thickBot="1">
      <c r="A34" s="11" t="s">
        <v>22</v>
      </c>
      <c r="B34" s="19">
        <f>SUM(B31:B33)</f>
        <v>85627238</v>
      </c>
      <c r="C34" s="19">
        <f t="shared" ref="C34:N34" si="11">SUM(C31:C33)</f>
        <v>90052025.210000008</v>
      </c>
      <c r="D34" s="19">
        <f>SUM(D31:D33)</f>
        <v>111478594.71853332</v>
      </c>
      <c r="E34" s="19">
        <f t="shared" si="11"/>
        <v>103339404.358</v>
      </c>
      <c r="F34" s="19">
        <f t="shared" si="11"/>
        <v>111498922.71853331</v>
      </c>
      <c r="G34" s="19">
        <f t="shared" si="11"/>
        <v>103339404.358</v>
      </c>
      <c r="H34" s="20">
        <f>SUM(H31:H33)</f>
        <v>110178922.71853331</v>
      </c>
      <c r="I34" s="19">
        <f t="shared" si="11"/>
        <v>111498922.71853331</v>
      </c>
      <c r="J34" s="19">
        <f t="shared" si="11"/>
        <v>103339404.358</v>
      </c>
      <c r="K34" s="19">
        <f t="shared" si="11"/>
        <v>110178922.71853331</v>
      </c>
      <c r="L34" s="19">
        <f t="shared" si="11"/>
        <v>103339404.358</v>
      </c>
      <c r="M34" s="19">
        <f t="shared" si="11"/>
        <v>110178922.71853331</v>
      </c>
      <c r="N34" s="19">
        <f t="shared" si="11"/>
        <v>1254050088.9532001</v>
      </c>
      <c r="O34" s="3"/>
    </row>
    <row r="35" spans="1:15" s="1" customFormat="1" ht="13.5" thickBot="1">
      <c r="A35" s="21"/>
      <c r="B35" s="30">
        <f t="shared" ref="B35:N35" si="12">+B34/B17</f>
        <v>0.35806238570424664</v>
      </c>
      <c r="C35" s="30">
        <f t="shared" si="12"/>
        <v>0.39633390453131723</v>
      </c>
      <c r="D35" s="30">
        <f t="shared" si="12"/>
        <v>0.39999999999999997</v>
      </c>
      <c r="E35" s="30">
        <f t="shared" si="12"/>
        <v>0.39999999999999997</v>
      </c>
      <c r="F35" s="30">
        <f t="shared" si="12"/>
        <v>0.39999999999999991</v>
      </c>
      <c r="G35" s="30">
        <f t="shared" si="12"/>
        <v>0.39999999999999997</v>
      </c>
      <c r="H35" s="30">
        <f t="shared" si="12"/>
        <v>0.39999999999999991</v>
      </c>
      <c r="I35" s="30">
        <f t="shared" si="12"/>
        <v>0.39999999999999991</v>
      </c>
      <c r="J35" s="30">
        <f t="shared" si="12"/>
        <v>0.39999999999999997</v>
      </c>
      <c r="K35" s="30">
        <f t="shared" si="12"/>
        <v>0.39999999999999991</v>
      </c>
      <c r="L35" s="30">
        <f t="shared" si="12"/>
        <v>0.39999999999999997</v>
      </c>
      <c r="M35" s="30">
        <f t="shared" si="12"/>
        <v>0.39999999999999991</v>
      </c>
      <c r="N35" s="30">
        <f t="shared" si="12"/>
        <v>0.3965651470749299</v>
      </c>
    </row>
    <row r="36" spans="1:15" s="1" customFormat="1" ht="13.5" thickBot="1">
      <c r="A36" s="11" t="s">
        <v>23</v>
      </c>
      <c r="B36" s="31"/>
      <c r="C36" s="31"/>
      <c r="D36" s="31"/>
      <c r="E36" s="31"/>
      <c r="F36" s="31"/>
      <c r="G36" s="31"/>
      <c r="H36" s="24"/>
      <c r="I36" s="32"/>
      <c r="J36" s="31"/>
      <c r="K36" s="31"/>
      <c r="L36" s="31"/>
      <c r="M36" s="31"/>
      <c r="N36" s="23"/>
    </row>
    <row r="37" spans="1:15" s="35" customFormat="1" ht="13.5" thickBot="1">
      <c r="A37" s="151" t="s">
        <v>24</v>
      </c>
      <c r="B37" s="33"/>
      <c r="C37" s="33"/>
      <c r="D37" s="33"/>
      <c r="E37" s="33"/>
      <c r="F37" s="33"/>
      <c r="G37" s="33"/>
      <c r="H37" s="34"/>
      <c r="I37" s="33"/>
      <c r="J37" s="33"/>
      <c r="K37" s="33"/>
      <c r="L37" s="33"/>
      <c r="M37" s="33"/>
      <c r="N37" s="34"/>
    </row>
    <row r="38" spans="1:15">
      <c r="A38" s="50" t="s">
        <v>72</v>
      </c>
      <c r="B38" s="15">
        <v>30915827</v>
      </c>
      <c r="C38" s="15">
        <v>29440693</v>
      </c>
      <c r="D38" s="15">
        <f>+NOM!$E$65</f>
        <v>44174211.762500003</v>
      </c>
      <c r="E38" s="15">
        <f>+NOM!$E$65</f>
        <v>44174211.762500003</v>
      </c>
      <c r="F38" s="15">
        <f>+NOM!$E$65</f>
        <v>44174211.762500003</v>
      </c>
      <c r="G38" s="15">
        <f>+NOM!$E$65</f>
        <v>44174211.762500003</v>
      </c>
      <c r="H38" s="15">
        <f>+NOM!$E$65</f>
        <v>44174211.762500003</v>
      </c>
      <c r="I38" s="15">
        <f>+NOM!$E$65</f>
        <v>44174211.762500003</v>
      </c>
      <c r="J38" s="15">
        <f>+NOM!$E$65</f>
        <v>44174211.762500003</v>
      </c>
      <c r="K38" s="15">
        <f>+NOM!$E$65</f>
        <v>44174211.762500003</v>
      </c>
      <c r="L38" s="15">
        <f>+NOM!$E$65</f>
        <v>44174211.762500003</v>
      </c>
      <c r="M38" s="15">
        <f>+NOM!$E$65</f>
        <v>44174211.762500003</v>
      </c>
      <c r="N38" s="17">
        <f>SUM(B38:M38)</f>
        <v>502098637.62499994</v>
      </c>
    </row>
    <row r="39" spans="1:15">
      <c r="A39" s="50" t="s">
        <v>73</v>
      </c>
      <c r="B39" s="15">
        <v>3850264</v>
      </c>
      <c r="C39" s="15">
        <v>4164156</v>
      </c>
      <c r="D39" s="15">
        <v>3446323</v>
      </c>
      <c r="E39" s="15">
        <v>3446323</v>
      </c>
      <c r="F39" s="15">
        <v>3446323</v>
      </c>
      <c r="G39" s="15">
        <v>3446323</v>
      </c>
      <c r="H39" s="15">
        <v>3446323</v>
      </c>
      <c r="I39" s="15">
        <v>3446323</v>
      </c>
      <c r="J39" s="15">
        <v>3446323</v>
      </c>
      <c r="K39" s="15">
        <v>3446323</v>
      </c>
      <c r="L39" s="15">
        <v>3446323</v>
      </c>
      <c r="M39" s="15">
        <v>3446323</v>
      </c>
      <c r="N39" s="17">
        <f t="shared" ref="N39:N57" si="13">SUM(B39:M39)</f>
        <v>42477650</v>
      </c>
    </row>
    <row r="40" spans="1:15">
      <c r="A40" s="50" t="s">
        <v>83</v>
      </c>
      <c r="B40" s="15">
        <v>1423358</v>
      </c>
      <c r="C40" s="15">
        <v>1563926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7">
        <f t="shared" si="13"/>
        <v>2987284</v>
      </c>
    </row>
    <row r="41" spans="1:15">
      <c r="A41" s="50" t="s">
        <v>74</v>
      </c>
      <c r="B41" s="15">
        <v>2579736</v>
      </c>
      <c r="C41" s="15">
        <v>2444894</v>
      </c>
      <c r="D41" s="15">
        <f>106454*32</f>
        <v>3406528</v>
      </c>
      <c r="E41" s="15">
        <f t="shared" ref="E41:M41" si="14">106454*32</f>
        <v>3406528</v>
      </c>
      <c r="F41" s="15">
        <f t="shared" si="14"/>
        <v>3406528</v>
      </c>
      <c r="G41" s="15">
        <f t="shared" si="14"/>
        <v>3406528</v>
      </c>
      <c r="H41" s="15">
        <f t="shared" si="14"/>
        <v>3406528</v>
      </c>
      <c r="I41" s="15">
        <f t="shared" si="14"/>
        <v>3406528</v>
      </c>
      <c r="J41" s="15">
        <f t="shared" si="14"/>
        <v>3406528</v>
      </c>
      <c r="K41" s="15">
        <f t="shared" si="14"/>
        <v>3406528</v>
      </c>
      <c r="L41" s="15">
        <f t="shared" si="14"/>
        <v>3406528</v>
      </c>
      <c r="M41" s="15">
        <f t="shared" si="14"/>
        <v>3406528</v>
      </c>
      <c r="N41" s="17">
        <f t="shared" si="13"/>
        <v>39089910</v>
      </c>
    </row>
    <row r="42" spans="1:15">
      <c r="A42" s="50" t="s">
        <v>75</v>
      </c>
      <c r="B42" s="15">
        <v>3252224</v>
      </c>
      <c r="C42" s="15">
        <v>3116360</v>
      </c>
      <c r="D42" s="15">
        <f>+SUM(D38+D39+D41+D40)*8.33%</f>
        <v>4250554.3281162502</v>
      </c>
      <c r="E42" s="15">
        <f>+SUM(E38+E39+E41+E40)*8.33%</f>
        <v>4250554.3281162502</v>
      </c>
      <c r="F42" s="15">
        <f t="shared" ref="F42:M42" si="15">+SUM(F38+F39+F41+F40)*8.33%</f>
        <v>4250554.3281162502</v>
      </c>
      <c r="G42" s="15">
        <f t="shared" si="15"/>
        <v>4250554.3281162502</v>
      </c>
      <c r="H42" s="15">
        <f t="shared" si="15"/>
        <v>4250554.3281162502</v>
      </c>
      <c r="I42" s="15">
        <f t="shared" si="15"/>
        <v>4250554.3281162502</v>
      </c>
      <c r="J42" s="15">
        <f t="shared" si="15"/>
        <v>4250554.3281162502</v>
      </c>
      <c r="K42" s="15">
        <f t="shared" si="15"/>
        <v>4250554.3281162502</v>
      </c>
      <c r="L42" s="15">
        <f t="shared" si="15"/>
        <v>4250554.3281162502</v>
      </c>
      <c r="M42" s="15">
        <f t="shared" si="15"/>
        <v>4250554.3281162502</v>
      </c>
      <c r="N42" s="17">
        <f t="shared" si="13"/>
        <v>48874127.281162508</v>
      </c>
    </row>
    <row r="43" spans="1:15">
      <c r="A43" s="50" t="s">
        <v>76</v>
      </c>
      <c r="B43" s="15">
        <v>390268</v>
      </c>
      <c r="C43" s="15">
        <v>373964</v>
      </c>
      <c r="D43" s="15">
        <f>+D42*1%</f>
        <v>42505.5432811625</v>
      </c>
      <c r="E43" s="15">
        <f>+E42*1%</f>
        <v>42505.5432811625</v>
      </c>
      <c r="F43" s="15">
        <f>+F42*1%</f>
        <v>42505.5432811625</v>
      </c>
      <c r="G43" s="15">
        <f t="shared" ref="G43:M43" si="16">+G42*1%</f>
        <v>42505.5432811625</v>
      </c>
      <c r="H43" s="15">
        <f t="shared" si="16"/>
        <v>42505.5432811625</v>
      </c>
      <c r="I43" s="15">
        <f t="shared" si="16"/>
        <v>42505.5432811625</v>
      </c>
      <c r="J43" s="15">
        <f t="shared" si="16"/>
        <v>42505.5432811625</v>
      </c>
      <c r="K43" s="15">
        <f t="shared" si="16"/>
        <v>42505.5432811625</v>
      </c>
      <c r="L43" s="15">
        <f t="shared" si="16"/>
        <v>42505.5432811625</v>
      </c>
      <c r="M43" s="15">
        <f t="shared" si="16"/>
        <v>42505.5432811625</v>
      </c>
      <c r="N43" s="17">
        <f t="shared" si="13"/>
        <v>1189287.4328116246</v>
      </c>
    </row>
    <row r="44" spans="1:15">
      <c r="A44" s="50" t="s">
        <v>77</v>
      </c>
      <c r="B44" s="15">
        <v>3252224</v>
      </c>
      <c r="C44" s="15">
        <v>3116360</v>
      </c>
      <c r="D44" s="15">
        <f>+D42</f>
        <v>4250554.3281162502</v>
      </c>
      <c r="E44" s="15">
        <f t="shared" ref="E44:M44" si="17">+E42</f>
        <v>4250554.3281162502</v>
      </c>
      <c r="F44" s="15">
        <f t="shared" si="17"/>
        <v>4250554.3281162502</v>
      </c>
      <c r="G44" s="15">
        <f t="shared" si="17"/>
        <v>4250554.3281162502</v>
      </c>
      <c r="H44" s="15">
        <f t="shared" si="17"/>
        <v>4250554.3281162502</v>
      </c>
      <c r="I44" s="15">
        <f t="shared" si="17"/>
        <v>4250554.3281162502</v>
      </c>
      <c r="J44" s="15">
        <f t="shared" si="17"/>
        <v>4250554.3281162502</v>
      </c>
      <c r="K44" s="15">
        <f t="shared" si="17"/>
        <v>4250554.3281162502</v>
      </c>
      <c r="L44" s="15">
        <f t="shared" si="17"/>
        <v>4250554.3281162502</v>
      </c>
      <c r="M44" s="15">
        <f t="shared" si="17"/>
        <v>4250554.3281162502</v>
      </c>
      <c r="N44" s="17">
        <f t="shared" si="13"/>
        <v>48874127.281162508</v>
      </c>
    </row>
    <row r="45" spans="1:15">
      <c r="A45" s="50" t="s">
        <v>78</v>
      </c>
      <c r="B45" s="15">
        <v>1382303</v>
      </c>
      <c r="C45" s="15">
        <v>1345858</v>
      </c>
      <c r="D45" s="15">
        <f>+SUM($D$38+$D$39)*4.17%</f>
        <v>1985776.2995962501</v>
      </c>
      <c r="E45" s="15">
        <f t="shared" ref="E45:M45" si="18">+SUM($D$38+$D$39)*4.17%</f>
        <v>1985776.2995962501</v>
      </c>
      <c r="F45" s="15">
        <f t="shared" si="18"/>
        <v>1985776.2995962501</v>
      </c>
      <c r="G45" s="15">
        <f t="shared" si="18"/>
        <v>1985776.2995962501</v>
      </c>
      <c r="H45" s="15">
        <f t="shared" si="18"/>
        <v>1985776.2995962501</v>
      </c>
      <c r="I45" s="15">
        <f t="shared" si="18"/>
        <v>1985776.2995962501</v>
      </c>
      <c r="J45" s="15">
        <f t="shared" si="18"/>
        <v>1985776.2995962501</v>
      </c>
      <c r="K45" s="15">
        <f t="shared" si="18"/>
        <v>1985776.2995962501</v>
      </c>
      <c r="L45" s="15">
        <f t="shared" si="18"/>
        <v>1985776.2995962501</v>
      </c>
      <c r="M45" s="15">
        <f t="shared" si="18"/>
        <v>1985776.2995962501</v>
      </c>
      <c r="N45" s="17">
        <f t="shared" si="13"/>
        <v>22585923.995962501</v>
      </c>
    </row>
    <row r="46" spans="1:15">
      <c r="A46" s="50" t="s">
        <v>79</v>
      </c>
      <c r="B46" s="15">
        <v>40000</v>
      </c>
      <c r="C46" s="15">
        <v>5000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7">
        <f t="shared" si="13"/>
        <v>45000</v>
      </c>
    </row>
    <row r="47" spans="1:15">
      <c r="A47" s="50" t="s">
        <v>80</v>
      </c>
      <c r="B47" s="15">
        <v>360743</v>
      </c>
      <c r="C47" s="15">
        <v>355778</v>
      </c>
      <c r="D47" s="15">
        <f>+SUM(D38+D39)*1.044%</f>
        <v>497158.38292050001</v>
      </c>
      <c r="E47" s="15">
        <f>+SUM(E38+E39)*1.044%</f>
        <v>497158.38292050001</v>
      </c>
      <c r="F47" s="15">
        <f>+SUM(F38+F39)*1.044%</f>
        <v>497158.38292050001</v>
      </c>
      <c r="G47" s="15">
        <f t="shared" ref="G47:M47" si="19">+SUM(G38+G39)*1.044%</f>
        <v>497158.38292050001</v>
      </c>
      <c r="H47" s="15">
        <f t="shared" si="19"/>
        <v>497158.38292050001</v>
      </c>
      <c r="I47" s="15">
        <f t="shared" si="19"/>
        <v>497158.38292050001</v>
      </c>
      <c r="J47" s="15">
        <f t="shared" si="19"/>
        <v>497158.38292050001</v>
      </c>
      <c r="K47" s="15">
        <f t="shared" si="19"/>
        <v>497158.38292050001</v>
      </c>
      <c r="L47" s="15">
        <f t="shared" si="19"/>
        <v>497158.38292050001</v>
      </c>
      <c r="M47" s="15">
        <f t="shared" si="19"/>
        <v>497158.38292050001</v>
      </c>
      <c r="N47" s="17">
        <f t="shared" si="13"/>
        <v>5688104.8292049989</v>
      </c>
    </row>
    <row r="48" spans="1:15">
      <c r="A48" s="50" t="s">
        <v>81</v>
      </c>
      <c r="B48" s="15">
        <v>4400851</v>
      </c>
      <c r="C48" s="15">
        <v>4298449</v>
      </c>
      <c r="D48" s="15">
        <f>+SUM($D$38+$D$39)*12%</f>
        <v>5714464.1715000002</v>
      </c>
      <c r="E48" s="15">
        <f>+SUM(E38+E39)*12%</f>
        <v>5714464.1715000002</v>
      </c>
      <c r="F48" s="15">
        <f>+SUM(F38+F39)*12%</f>
        <v>5714464.1715000002</v>
      </c>
      <c r="G48" s="15">
        <f t="shared" ref="G48:M48" si="20">+SUM(G38+G39)*12%</f>
        <v>5714464.1715000002</v>
      </c>
      <c r="H48" s="15">
        <f t="shared" si="20"/>
        <v>5714464.1715000002</v>
      </c>
      <c r="I48" s="15">
        <f t="shared" si="20"/>
        <v>5714464.1715000002</v>
      </c>
      <c r="J48" s="15">
        <f t="shared" si="20"/>
        <v>5714464.1715000002</v>
      </c>
      <c r="K48" s="15">
        <f t="shared" si="20"/>
        <v>5714464.1715000002</v>
      </c>
      <c r="L48" s="15">
        <f t="shared" si="20"/>
        <v>5714464.1715000002</v>
      </c>
      <c r="M48" s="15">
        <f t="shared" si="20"/>
        <v>5714464.1715000002</v>
      </c>
      <c r="N48" s="17">
        <f t="shared" si="13"/>
        <v>65843941.714999989</v>
      </c>
    </row>
    <row r="49" spans="1:14">
      <c r="A49" s="50" t="s">
        <v>82</v>
      </c>
      <c r="B49" s="15">
        <v>1411630</v>
      </c>
      <c r="C49" s="15">
        <v>1390650</v>
      </c>
      <c r="D49" s="15">
        <f>+SUM($D$38+$D$39)*4%</f>
        <v>1904821.3905000002</v>
      </c>
      <c r="E49" s="15">
        <f>+SUM(E38+E39)*4%</f>
        <v>1904821.3905000002</v>
      </c>
      <c r="F49" s="15">
        <f>+SUM(F38+F39)*4%</f>
        <v>1904821.3905000002</v>
      </c>
      <c r="G49" s="15">
        <f t="shared" ref="G49:M49" si="21">+SUM(G38+G39)*4%</f>
        <v>1904821.3905000002</v>
      </c>
      <c r="H49" s="15">
        <f t="shared" si="21"/>
        <v>1904821.3905000002</v>
      </c>
      <c r="I49" s="15">
        <f t="shared" si="21"/>
        <v>1904821.3905000002</v>
      </c>
      <c r="J49" s="15">
        <f t="shared" si="21"/>
        <v>1904821.3905000002</v>
      </c>
      <c r="K49" s="15">
        <f t="shared" si="21"/>
        <v>1904821.3905000002</v>
      </c>
      <c r="L49" s="15">
        <f t="shared" si="21"/>
        <v>1904821.3905000002</v>
      </c>
      <c r="M49" s="15">
        <f t="shared" si="21"/>
        <v>1904821.3905000002</v>
      </c>
      <c r="N49" s="17">
        <f t="shared" si="13"/>
        <v>21850493.905000001</v>
      </c>
    </row>
    <row r="50" spans="1:14">
      <c r="A50" s="50" t="s">
        <v>84</v>
      </c>
      <c r="B50" s="15"/>
      <c r="C50" s="15"/>
      <c r="D50" s="15"/>
      <c r="E50" s="15">
        <v>3557691.2052500001</v>
      </c>
      <c r="F50" s="15"/>
      <c r="G50" s="15">
        <f>+D50</f>
        <v>0</v>
      </c>
      <c r="H50" s="16"/>
      <c r="I50" s="15">
        <v>3557691.2052500001</v>
      </c>
      <c r="J50" s="15">
        <f>+G50</f>
        <v>0</v>
      </c>
      <c r="K50" s="15"/>
      <c r="L50" s="15"/>
      <c r="M50" s="15">
        <v>3557691.2052500001</v>
      </c>
      <c r="N50" s="17">
        <f t="shared" si="13"/>
        <v>10673073.61575</v>
      </c>
    </row>
    <row r="51" spans="1:14">
      <c r="A51" s="50" t="s">
        <v>95</v>
      </c>
      <c r="B51" s="15"/>
      <c r="C51" s="15"/>
      <c r="D51" s="15"/>
      <c r="E51" s="15"/>
      <c r="F51" s="15"/>
      <c r="G51" s="15"/>
      <c r="H51" s="16"/>
      <c r="I51" s="15"/>
      <c r="J51" s="15"/>
      <c r="K51" s="15"/>
      <c r="L51" s="15"/>
      <c r="M51" s="15"/>
      <c r="N51" s="17">
        <f t="shared" si="13"/>
        <v>0</v>
      </c>
    </row>
    <row r="52" spans="1:14">
      <c r="A52" s="50" t="s">
        <v>96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7">
        <f t="shared" si="13"/>
        <v>0</v>
      </c>
    </row>
    <row r="53" spans="1:14">
      <c r="A53" s="50" t="s">
        <v>97</v>
      </c>
      <c r="B53" s="15"/>
      <c r="C53" s="15">
        <v>375651</v>
      </c>
      <c r="D53" s="15">
        <f>+D54+D55+D56</f>
        <v>457380</v>
      </c>
      <c r="E53" s="15">
        <f t="shared" ref="E53:M53" si="22">+E54+E55+E56</f>
        <v>502380</v>
      </c>
      <c r="F53" s="15">
        <f t="shared" si="22"/>
        <v>457380</v>
      </c>
      <c r="G53" s="15">
        <f t="shared" si="22"/>
        <v>502380</v>
      </c>
      <c r="H53" s="15">
        <f t="shared" si="22"/>
        <v>457380</v>
      </c>
      <c r="I53" s="15">
        <f t="shared" si="22"/>
        <v>502380</v>
      </c>
      <c r="J53" s="15">
        <f t="shared" si="22"/>
        <v>457380</v>
      </c>
      <c r="K53" s="15">
        <f t="shared" si="22"/>
        <v>502380</v>
      </c>
      <c r="L53" s="15">
        <f t="shared" si="22"/>
        <v>457380</v>
      </c>
      <c r="M53" s="15">
        <f t="shared" si="22"/>
        <v>502380</v>
      </c>
      <c r="N53" s="17">
        <f t="shared" si="13"/>
        <v>5174451</v>
      </c>
    </row>
    <row r="54" spans="1:14">
      <c r="A54" s="14" t="s">
        <v>275</v>
      </c>
      <c r="B54" s="15"/>
      <c r="C54" s="15"/>
      <c r="D54" s="15">
        <v>457380</v>
      </c>
      <c r="E54" s="15">
        <v>457380</v>
      </c>
      <c r="F54" s="15">
        <v>457380</v>
      </c>
      <c r="G54" s="15">
        <v>457380</v>
      </c>
      <c r="H54" s="15">
        <v>457380</v>
      </c>
      <c r="I54" s="15">
        <v>457380</v>
      </c>
      <c r="J54" s="15">
        <v>457380</v>
      </c>
      <c r="K54" s="15">
        <v>457380</v>
      </c>
      <c r="L54" s="15">
        <v>457380</v>
      </c>
      <c r="M54" s="15">
        <v>457380</v>
      </c>
      <c r="N54" s="17">
        <f t="shared" si="13"/>
        <v>4573800</v>
      </c>
    </row>
    <row r="55" spans="1:14">
      <c r="A55" s="14" t="s">
        <v>270</v>
      </c>
      <c r="B55" s="15"/>
      <c r="C55" s="15"/>
      <c r="D55" s="15"/>
      <c r="E55" s="15">
        <v>45000</v>
      </c>
      <c r="F55" s="15"/>
      <c r="G55" s="15">
        <v>45000</v>
      </c>
      <c r="H55" s="16"/>
      <c r="I55" s="15">
        <v>45000</v>
      </c>
      <c r="J55" s="15"/>
      <c r="K55" s="15">
        <v>45000</v>
      </c>
      <c r="L55" s="15"/>
      <c r="M55" s="15">
        <v>45000</v>
      </c>
      <c r="N55" s="17">
        <f t="shared" si="13"/>
        <v>225000</v>
      </c>
    </row>
    <row r="56" spans="1:14">
      <c r="A56" s="50"/>
      <c r="B56" s="15"/>
      <c r="C56" s="15"/>
      <c r="D56" s="15"/>
      <c r="E56" s="15"/>
      <c r="F56" s="15"/>
      <c r="G56" s="15"/>
      <c r="H56" s="16"/>
      <c r="I56" s="15"/>
      <c r="J56" s="15"/>
      <c r="K56" s="15"/>
      <c r="L56" s="15"/>
      <c r="M56" s="15"/>
      <c r="N56" s="17"/>
    </row>
    <row r="57" spans="1:14" ht="13.5" thickBot="1">
      <c r="A57" s="14"/>
      <c r="B57" s="15"/>
      <c r="C57" s="15"/>
      <c r="D57" s="15"/>
      <c r="E57" s="15"/>
      <c r="F57" s="15"/>
      <c r="G57" s="15"/>
      <c r="H57" s="16"/>
      <c r="I57" s="15"/>
      <c r="J57" s="15"/>
      <c r="K57" s="15"/>
      <c r="L57" s="15"/>
      <c r="M57" s="15"/>
      <c r="N57" s="17">
        <f t="shared" si="13"/>
        <v>0</v>
      </c>
    </row>
    <row r="58" spans="1:14" s="1" customFormat="1" ht="13.5" thickBot="1">
      <c r="A58" s="150" t="s">
        <v>25</v>
      </c>
      <c r="B58" s="152">
        <f>SUM(B38:B57)</f>
        <v>53259428</v>
      </c>
      <c r="C58" s="152">
        <f>SUM(C38:C57)</f>
        <v>51991739</v>
      </c>
      <c r="D58" s="152">
        <f>SUM(D38:D57)-D53</f>
        <v>70130277.206530422</v>
      </c>
      <c r="E58" s="152">
        <f>SUM(E38:E57)-E53</f>
        <v>73732968.411780417</v>
      </c>
      <c r="F58" s="152">
        <f>SUM(F38:F57)-F53</f>
        <v>70130277.206530422</v>
      </c>
      <c r="G58" s="152">
        <f>SUM(G38:G57)-G53</f>
        <v>70175277.206530422</v>
      </c>
      <c r="H58" s="152">
        <f t="shared" ref="H58:N58" si="23">SUM(H38:H57)-H53</f>
        <v>70130277.206530422</v>
      </c>
      <c r="I58" s="152">
        <f t="shared" si="23"/>
        <v>73732968.411780417</v>
      </c>
      <c r="J58" s="152">
        <f>SUM(J38:J57)-J53</f>
        <v>70130277.206530422</v>
      </c>
      <c r="K58" s="152">
        <f t="shared" si="23"/>
        <v>70175277.206530422</v>
      </c>
      <c r="L58" s="152">
        <f t="shared" si="23"/>
        <v>70130277.206530422</v>
      </c>
      <c r="M58" s="152">
        <f t="shared" si="23"/>
        <v>73732968.411780417</v>
      </c>
      <c r="N58" s="152">
        <f t="shared" si="23"/>
        <v>817076361.68105412</v>
      </c>
    </row>
    <row r="59" spans="1:14" s="1" customFormat="1" ht="13.5" thickBot="1">
      <c r="A59" s="21"/>
      <c r="B59" s="22">
        <f t="shared" ref="B59:N59" si="24">+B58/B7</f>
        <v>0.21995443160965303</v>
      </c>
      <c r="C59" s="22">
        <f t="shared" si="24"/>
        <v>0.21187270645737191</v>
      </c>
      <c r="D59" s="22">
        <f t="shared" si="24"/>
        <v>0.25050667662146764</v>
      </c>
      <c r="E59" s="22">
        <f t="shared" si="24"/>
        <v>0.26987184516937246</v>
      </c>
      <c r="F59" s="22">
        <f t="shared" si="24"/>
        <v>0.25046121039764202</v>
      </c>
      <c r="G59" s="22">
        <f t="shared" si="24"/>
        <v>0.25685025237601539</v>
      </c>
      <c r="H59" s="22">
        <f t="shared" si="24"/>
        <v>0.24912662513945988</v>
      </c>
      <c r="I59" s="22">
        <f t="shared" si="24"/>
        <v>0.26332775585986118</v>
      </c>
      <c r="J59" s="22">
        <f t="shared" si="24"/>
        <v>0.27014146452856586</v>
      </c>
      <c r="K59" s="22">
        <f t="shared" si="24"/>
        <v>0.25361085868026673</v>
      </c>
      <c r="L59" s="22">
        <f t="shared" si="24"/>
        <v>0.27014146452856586</v>
      </c>
      <c r="M59" s="22">
        <f t="shared" si="24"/>
        <v>0.26646822323085123</v>
      </c>
      <c r="N59" s="22">
        <f t="shared" si="24"/>
        <v>0.25311784033778018</v>
      </c>
    </row>
    <row r="60" spans="1:14" s="35" customFormat="1" ht="13.5" thickBot="1">
      <c r="A60" s="54" t="s">
        <v>26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6"/>
      <c r="N60" s="34"/>
    </row>
    <row r="61" spans="1:14">
      <c r="A61" s="50" t="s">
        <v>72</v>
      </c>
      <c r="B61" s="15">
        <v>9663801</v>
      </c>
      <c r="C61" s="15">
        <v>9776566</v>
      </c>
      <c r="D61" s="15">
        <v>7833428.4325000001</v>
      </c>
      <c r="E61" s="15">
        <v>7833428.4325000001</v>
      </c>
      <c r="F61" s="15">
        <v>7833428.4325000001</v>
      </c>
      <c r="G61" s="15">
        <v>7833428.4325000001</v>
      </c>
      <c r="H61" s="15">
        <v>7833428.4325000001</v>
      </c>
      <c r="I61" s="15">
        <v>7833428.4325000001</v>
      </c>
      <c r="J61" s="15">
        <v>7833428.4325000001</v>
      </c>
      <c r="K61" s="15">
        <v>7833428.4325000001</v>
      </c>
      <c r="L61" s="15">
        <v>7833428.4325000001</v>
      </c>
      <c r="M61" s="15">
        <v>7833428.4325000001</v>
      </c>
      <c r="N61" s="17">
        <f t="shared" ref="N61:N80" si="25">SUM(B61:M61)</f>
        <v>97774651.325000003</v>
      </c>
    </row>
    <row r="62" spans="1:14">
      <c r="A62" s="50" t="s">
        <v>73</v>
      </c>
      <c r="B62" s="15">
        <v>138125</v>
      </c>
      <c r="C62" s="15"/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7">
        <f t="shared" si="25"/>
        <v>138125</v>
      </c>
    </row>
    <row r="63" spans="1:14">
      <c r="A63" s="50" t="s">
        <v>83</v>
      </c>
      <c r="B63" s="15">
        <v>0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7">
        <f t="shared" si="25"/>
        <v>0</v>
      </c>
    </row>
    <row r="64" spans="1:14">
      <c r="A64" s="50" t="s">
        <v>74</v>
      </c>
      <c r="B64" s="15">
        <v>180972</v>
      </c>
      <c r="C64" s="15">
        <v>212908</v>
      </c>
      <c r="D64" s="15">
        <f>106454*2</f>
        <v>212908</v>
      </c>
      <c r="E64" s="15">
        <f t="shared" ref="E64:M64" si="26">106454*2</f>
        <v>212908</v>
      </c>
      <c r="F64" s="15">
        <f t="shared" si="26"/>
        <v>212908</v>
      </c>
      <c r="G64" s="15">
        <f t="shared" si="26"/>
        <v>212908</v>
      </c>
      <c r="H64" s="15">
        <f t="shared" si="26"/>
        <v>212908</v>
      </c>
      <c r="I64" s="15">
        <f t="shared" si="26"/>
        <v>212908</v>
      </c>
      <c r="J64" s="15">
        <f t="shared" si="26"/>
        <v>212908</v>
      </c>
      <c r="K64" s="15">
        <f t="shared" si="26"/>
        <v>212908</v>
      </c>
      <c r="L64" s="15">
        <f t="shared" si="26"/>
        <v>212908</v>
      </c>
      <c r="M64" s="15">
        <f t="shared" si="26"/>
        <v>212908</v>
      </c>
      <c r="N64" s="17">
        <f t="shared" si="25"/>
        <v>2522960</v>
      </c>
    </row>
    <row r="65" spans="1:14">
      <c r="A65" s="50" t="s">
        <v>75</v>
      </c>
      <c r="B65" s="15">
        <v>803623</v>
      </c>
      <c r="C65" s="15">
        <v>832456</v>
      </c>
      <c r="D65" s="15">
        <f>+SUM(D61+D62+D63+D64)*8.33%</f>
        <v>670259.82482724998</v>
      </c>
      <c r="E65" s="15">
        <f t="shared" ref="E65:M65" si="27">+SUM(E61+E62+E63+E64)*8.33%</f>
        <v>670259.82482724998</v>
      </c>
      <c r="F65" s="15">
        <f t="shared" si="27"/>
        <v>670259.82482724998</v>
      </c>
      <c r="G65" s="15">
        <f t="shared" si="27"/>
        <v>670259.82482724998</v>
      </c>
      <c r="H65" s="15">
        <f t="shared" si="27"/>
        <v>670259.82482724998</v>
      </c>
      <c r="I65" s="15">
        <f t="shared" si="27"/>
        <v>670259.82482724998</v>
      </c>
      <c r="J65" s="15">
        <f t="shared" si="27"/>
        <v>670259.82482724998</v>
      </c>
      <c r="K65" s="15">
        <f t="shared" si="27"/>
        <v>670259.82482724998</v>
      </c>
      <c r="L65" s="15">
        <f t="shared" si="27"/>
        <v>670259.82482724998</v>
      </c>
      <c r="M65" s="15">
        <f t="shared" si="27"/>
        <v>670259.82482724998</v>
      </c>
      <c r="N65" s="17">
        <f t="shared" si="25"/>
        <v>8338677.2482725009</v>
      </c>
    </row>
    <row r="66" spans="1:14">
      <c r="A66" s="50" t="s">
        <v>76</v>
      </c>
      <c r="B66" s="15">
        <v>96435</v>
      </c>
      <c r="C66" s="15">
        <v>99895</v>
      </c>
      <c r="D66" s="15">
        <f>+D65*12%</f>
        <v>80431.17897927</v>
      </c>
      <c r="E66" s="15">
        <f t="shared" ref="E66:M66" si="28">+E65*12%</f>
        <v>80431.17897927</v>
      </c>
      <c r="F66" s="15">
        <f t="shared" si="28"/>
        <v>80431.17897927</v>
      </c>
      <c r="G66" s="15">
        <f t="shared" si="28"/>
        <v>80431.17897927</v>
      </c>
      <c r="H66" s="15">
        <f t="shared" si="28"/>
        <v>80431.17897927</v>
      </c>
      <c r="I66" s="15">
        <f t="shared" si="28"/>
        <v>80431.17897927</v>
      </c>
      <c r="J66" s="15">
        <f t="shared" si="28"/>
        <v>80431.17897927</v>
      </c>
      <c r="K66" s="15">
        <f t="shared" si="28"/>
        <v>80431.17897927</v>
      </c>
      <c r="L66" s="15">
        <f t="shared" si="28"/>
        <v>80431.17897927</v>
      </c>
      <c r="M66" s="15">
        <f t="shared" si="28"/>
        <v>80431.17897927</v>
      </c>
      <c r="N66" s="17">
        <f t="shared" si="25"/>
        <v>1000641.7897927002</v>
      </c>
    </row>
    <row r="67" spans="1:14">
      <c r="A67" s="50" t="s">
        <v>77</v>
      </c>
      <c r="B67" s="15">
        <v>803623</v>
      </c>
      <c r="C67" s="15">
        <v>832456</v>
      </c>
      <c r="D67" s="15">
        <f>+D65</f>
        <v>670259.82482724998</v>
      </c>
      <c r="E67" s="15">
        <f t="shared" ref="E67:M67" si="29">+E65</f>
        <v>670259.82482724998</v>
      </c>
      <c r="F67" s="15">
        <f t="shared" si="29"/>
        <v>670259.82482724998</v>
      </c>
      <c r="G67" s="15">
        <f t="shared" si="29"/>
        <v>670259.82482724998</v>
      </c>
      <c r="H67" s="15">
        <f t="shared" si="29"/>
        <v>670259.82482724998</v>
      </c>
      <c r="I67" s="15">
        <f t="shared" si="29"/>
        <v>670259.82482724998</v>
      </c>
      <c r="J67" s="15">
        <f t="shared" si="29"/>
        <v>670259.82482724998</v>
      </c>
      <c r="K67" s="15">
        <f t="shared" si="29"/>
        <v>670259.82482724998</v>
      </c>
      <c r="L67" s="15">
        <f t="shared" si="29"/>
        <v>670259.82482724998</v>
      </c>
      <c r="M67" s="15">
        <f t="shared" si="29"/>
        <v>670259.82482724998</v>
      </c>
      <c r="N67" s="17">
        <f t="shared" si="25"/>
        <v>8338677.2482725009</v>
      </c>
    </row>
    <row r="68" spans="1:14">
      <c r="A68" s="50" t="s">
        <v>78</v>
      </c>
      <c r="B68" s="15">
        <v>395159</v>
      </c>
      <c r="C68" s="15">
        <v>407357</v>
      </c>
      <c r="D68" s="15">
        <f>+SUM(D61+D62)*4.17%</f>
        <v>326653.96563525003</v>
      </c>
      <c r="E68" s="15">
        <f t="shared" ref="E68:M68" si="30">+SUM(E61+E62)*4.17%</f>
        <v>326653.96563525003</v>
      </c>
      <c r="F68" s="15">
        <f t="shared" si="30"/>
        <v>326653.96563525003</v>
      </c>
      <c r="G68" s="15">
        <f t="shared" si="30"/>
        <v>326653.96563525003</v>
      </c>
      <c r="H68" s="15">
        <f t="shared" si="30"/>
        <v>326653.96563525003</v>
      </c>
      <c r="I68" s="15">
        <f t="shared" si="30"/>
        <v>326653.96563525003</v>
      </c>
      <c r="J68" s="15">
        <f t="shared" si="30"/>
        <v>326653.96563525003</v>
      </c>
      <c r="K68" s="15">
        <f t="shared" si="30"/>
        <v>326653.96563525003</v>
      </c>
      <c r="L68" s="15">
        <f t="shared" si="30"/>
        <v>326653.96563525003</v>
      </c>
      <c r="M68" s="15">
        <f t="shared" si="30"/>
        <v>326653.96563525003</v>
      </c>
      <c r="N68" s="17">
        <f t="shared" si="25"/>
        <v>4069055.6563524995</v>
      </c>
    </row>
    <row r="69" spans="1:14">
      <c r="A69" s="50" t="s">
        <v>79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7">
        <f t="shared" si="25"/>
        <v>0</v>
      </c>
    </row>
    <row r="70" spans="1:14">
      <c r="A70" s="50" t="s">
        <v>80</v>
      </c>
      <c r="B70" s="15">
        <v>101516</v>
      </c>
      <c r="C70" s="15">
        <v>102067</v>
      </c>
      <c r="D70" s="15">
        <f>+SUM(D61+D62)*1.044%</f>
        <v>81780.9928353</v>
      </c>
      <c r="E70" s="15">
        <f t="shared" ref="E70:M70" si="31">+SUM(E61+E62)*1.044%</f>
        <v>81780.9928353</v>
      </c>
      <c r="F70" s="15">
        <f t="shared" si="31"/>
        <v>81780.9928353</v>
      </c>
      <c r="G70" s="15">
        <f t="shared" si="31"/>
        <v>81780.9928353</v>
      </c>
      <c r="H70" s="15">
        <f t="shared" si="31"/>
        <v>81780.9928353</v>
      </c>
      <c r="I70" s="15">
        <f t="shared" si="31"/>
        <v>81780.9928353</v>
      </c>
      <c r="J70" s="15">
        <f t="shared" si="31"/>
        <v>81780.9928353</v>
      </c>
      <c r="K70" s="15">
        <f t="shared" si="31"/>
        <v>81780.9928353</v>
      </c>
      <c r="L70" s="15">
        <f t="shared" si="31"/>
        <v>81780.9928353</v>
      </c>
      <c r="M70" s="15">
        <f t="shared" si="31"/>
        <v>81780.9928353</v>
      </c>
      <c r="N70" s="17">
        <f t="shared" si="25"/>
        <v>1021392.9283530002</v>
      </c>
    </row>
    <row r="71" spans="1:14">
      <c r="A71" s="50" t="s">
        <v>81</v>
      </c>
      <c r="B71" s="15">
        <v>1233129</v>
      </c>
      <c r="C71" s="15">
        <v>1173188</v>
      </c>
      <c r="D71" s="145">
        <f>+SUM(D61+D62)*12%</f>
        <v>940011.41189999995</v>
      </c>
      <c r="E71" s="145">
        <f t="shared" ref="E71:M71" si="32">+SUM(E61+E62)*12%</f>
        <v>940011.41189999995</v>
      </c>
      <c r="F71" s="145">
        <f t="shared" si="32"/>
        <v>940011.41189999995</v>
      </c>
      <c r="G71" s="145">
        <f t="shared" si="32"/>
        <v>940011.41189999995</v>
      </c>
      <c r="H71" s="145">
        <f t="shared" si="32"/>
        <v>940011.41189999995</v>
      </c>
      <c r="I71" s="145">
        <f t="shared" si="32"/>
        <v>940011.41189999995</v>
      </c>
      <c r="J71" s="145">
        <f t="shared" si="32"/>
        <v>940011.41189999995</v>
      </c>
      <c r="K71" s="145">
        <f t="shared" si="32"/>
        <v>940011.41189999995</v>
      </c>
      <c r="L71" s="145">
        <f t="shared" si="32"/>
        <v>940011.41189999995</v>
      </c>
      <c r="M71" s="145">
        <f t="shared" si="32"/>
        <v>940011.41189999995</v>
      </c>
      <c r="N71" s="17">
        <f t="shared" si="25"/>
        <v>11806431.119000001</v>
      </c>
    </row>
    <row r="72" spans="1:14">
      <c r="A72" s="50" t="s">
        <v>82</v>
      </c>
      <c r="B72" s="15">
        <v>413060</v>
      </c>
      <c r="C72" s="15">
        <v>391063</v>
      </c>
      <c r="D72" s="144">
        <f>SUM(D61+D62+D63)*4%</f>
        <v>313337.1373</v>
      </c>
      <c r="E72" s="144">
        <f t="shared" ref="E72:M72" si="33">SUM(E61+E62+E63)*4%</f>
        <v>313337.1373</v>
      </c>
      <c r="F72" s="144">
        <f t="shared" si="33"/>
        <v>313337.1373</v>
      </c>
      <c r="G72" s="144">
        <f t="shared" si="33"/>
        <v>313337.1373</v>
      </c>
      <c r="H72" s="144">
        <f t="shared" si="33"/>
        <v>313337.1373</v>
      </c>
      <c r="I72" s="144">
        <f t="shared" si="33"/>
        <v>313337.1373</v>
      </c>
      <c r="J72" s="144">
        <f t="shared" si="33"/>
        <v>313337.1373</v>
      </c>
      <c r="K72" s="144">
        <f t="shared" si="33"/>
        <v>313337.1373</v>
      </c>
      <c r="L72" s="144">
        <f t="shared" si="33"/>
        <v>313337.1373</v>
      </c>
      <c r="M72" s="144">
        <f t="shared" si="33"/>
        <v>313337.1373</v>
      </c>
      <c r="N72" s="17">
        <f t="shared" si="25"/>
        <v>3937494.3730000006</v>
      </c>
    </row>
    <row r="73" spans="1:14">
      <c r="A73" s="50" t="s">
        <v>84</v>
      </c>
      <c r="B73" s="15"/>
      <c r="C73" s="15"/>
      <c r="D73" s="15"/>
      <c r="E73" s="15">
        <v>209253.79474999997</v>
      </c>
      <c r="F73" s="15"/>
      <c r="G73" s="15"/>
      <c r="H73" s="16"/>
      <c r="I73" s="15">
        <v>209253.79474999997</v>
      </c>
      <c r="J73" s="15"/>
      <c r="K73" s="15"/>
      <c r="L73" s="15"/>
      <c r="M73" s="15">
        <v>209253.79474999997</v>
      </c>
      <c r="N73" s="17">
        <f t="shared" si="25"/>
        <v>627761.38424999989</v>
      </c>
    </row>
    <row r="74" spans="1:14">
      <c r="A74" s="50" t="s">
        <v>95</v>
      </c>
      <c r="B74" s="15"/>
      <c r="C74" s="15"/>
      <c r="D74" s="15"/>
      <c r="E74" s="15"/>
      <c r="F74" s="15"/>
      <c r="G74" s="15"/>
      <c r="H74" s="16"/>
      <c r="I74" s="15"/>
      <c r="J74" s="15"/>
      <c r="K74" s="15"/>
      <c r="L74" s="15"/>
      <c r="M74" s="15"/>
      <c r="N74" s="17">
        <f t="shared" si="25"/>
        <v>0</v>
      </c>
    </row>
    <row r="75" spans="1:14">
      <c r="A75" s="50" t="s">
        <v>96</v>
      </c>
      <c r="B75" s="15"/>
      <c r="C75" s="15"/>
      <c r="D75" s="15"/>
      <c r="E75" s="15"/>
      <c r="F75" s="15"/>
      <c r="G75" s="15"/>
      <c r="H75" s="16"/>
      <c r="I75" s="15"/>
      <c r="J75" s="15"/>
      <c r="K75" s="15"/>
      <c r="L75" s="15"/>
      <c r="M75" s="15"/>
      <c r="N75" s="17">
        <f t="shared" si="25"/>
        <v>0</v>
      </c>
    </row>
    <row r="76" spans="1:14">
      <c r="A76" s="50" t="s">
        <v>97</v>
      </c>
      <c r="B76" s="15">
        <v>14566</v>
      </c>
      <c r="C76" s="15">
        <v>71400</v>
      </c>
      <c r="D76" s="15">
        <f>+D77+D78+D79</f>
        <v>4620</v>
      </c>
      <c r="E76" s="15">
        <f t="shared" ref="E76:M76" si="34">+E77+E78+E79</f>
        <v>5120</v>
      </c>
      <c r="F76" s="15">
        <f t="shared" si="34"/>
        <v>4620</v>
      </c>
      <c r="G76" s="15">
        <f t="shared" si="34"/>
        <v>5120</v>
      </c>
      <c r="H76" s="15">
        <f t="shared" si="34"/>
        <v>4620</v>
      </c>
      <c r="I76" s="15">
        <f t="shared" si="34"/>
        <v>5120</v>
      </c>
      <c r="J76" s="15">
        <f t="shared" si="34"/>
        <v>4620</v>
      </c>
      <c r="K76" s="15">
        <f t="shared" si="34"/>
        <v>5120</v>
      </c>
      <c r="L76" s="15">
        <f t="shared" si="34"/>
        <v>4620</v>
      </c>
      <c r="M76" s="15">
        <f t="shared" si="34"/>
        <v>5120</v>
      </c>
      <c r="N76" s="17">
        <f t="shared" si="25"/>
        <v>134666</v>
      </c>
    </row>
    <row r="77" spans="1:14">
      <c r="A77" s="14" t="s">
        <v>271</v>
      </c>
      <c r="B77" s="15"/>
      <c r="C77" s="15"/>
      <c r="D77" s="15">
        <v>4620</v>
      </c>
      <c r="E77" s="15">
        <v>4620</v>
      </c>
      <c r="F77" s="15">
        <v>4620</v>
      </c>
      <c r="G77" s="15">
        <v>4620</v>
      </c>
      <c r="H77" s="15">
        <v>4620</v>
      </c>
      <c r="I77" s="15">
        <v>4620</v>
      </c>
      <c r="J77" s="15">
        <v>4620</v>
      </c>
      <c r="K77" s="15">
        <v>4620</v>
      </c>
      <c r="L77" s="15">
        <v>4620</v>
      </c>
      <c r="M77" s="15">
        <v>4620</v>
      </c>
      <c r="N77" s="17"/>
    </row>
    <row r="78" spans="1:14">
      <c r="A78" s="14" t="s">
        <v>270</v>
      </c>
      <c r="B78" s="15"/>
      <c r="C78" s="15"/>
      <c r="D78" s="15">
        <v>0</v>
      </c>
      <c r="E78" s="15">
        <v>500</v>
      </c>
      <c r="F78" s="15">
        <v>0</v>
      </c>
      <c r="G78" s="15">
        <v>500</v>
      </c>
      <c r="H78" s="15">
        <v>0</v>
      </c>
      <c r="I78" s="15">
        <v>500</v>
      </c>
      <c r="J78" s="15">
        <v>0</v>
      </c>
      <c r="K78" s="15">
        <v>500</v>
      </c>
      <c r="L78" s="15">
        <v>0</v>
      </c>
      <c r="M78" s="15">
        <v>500</v>
      </c>
      <c r="N78" s="17"/>
    </row>
    <row r="79" spans="1:14">
      <c r="A79" s="50"/>
      <c r="B79" s="15"/>
      <c r="C79" s="15"/>
      <c r="D79" s="15"/>
      <c r="E79" s="15"/>
      <c r="F79" s="15"/>
      <c r="G79" s="15"/>
      <c r="H79" s="16"/>
      <c r="I79" s="15"/>
      <c r="J79" s="15"/>
      <c r="K79" s="15"/>
      <c r="L79" s="15"/>
      <c r="M79" s="15"/>
      <c r="N79" s="17">
        <f t="shared" si="25"/>
        <v>0</v>
      </c>
    </row>
    <row r="80" spans="1:14" ht="13.5" thickBot="1">
      <c r="A80" s="14"/>
      <c r="B80" s="15"/>
      <c r="C80" s="15"/>
      <c r="D80" s="15"/>
      <c r="E80" s="15"/>
      <c r="F80" s="15"/>
      <c r="G80" s="15"/>
      <c r="H80" s="16"/>
      <c r="I80" s="15"/>
      <c r="J80" s="15"/>
      <c r="K80" s="15"/>
      <c r="L80" s="15"/>
      <c r="M80" s="15"/>
      <c r="N80" s="17">
        <f t="shared" si="25"/>
        <v>0</v>
      </c>
    </row>
    <row r="81" spans="1:14" s="1" customFormat="1" ht="13.5" thickBot="1">
      <c r="A81" s="53" t="s">
        <v>27</v>
      </c>
      <c r="B81" s="142">
        <f t="shared" ref="B81" si="35">SUM(B61:B80)</f>
        <v>13844009</v>
      </c>
      <c r="C81" s="142">
        <f>SUM(C61:C80)</f>
        <v>13899356</v>
      </c>
      <c r="D81" s="142">
        <f>SUM(D61:D80)-D76</f>
        <v>11133690.768804319</v>
      </c>
      <c r="E81" s="142">
        <f>SUM(E61:E80)-E76</f>
        <v>11343444.563554319</v>
      </c>
      <c r="F81" s="142">
        <f>SUM(F61:F80)-F76</f>
        <v>11133690.768804319</v>
      </c>
      <c r="G81" s="142">
        <f t="shared" ref="G81:N81" si="36">SUM(G61:G80)-G76</f>
        <v>11134190.768804319</v>
      </c>
      <c r="H81" s="142">
        <f t="shared" si="36"/>
        <v>11133690.768804319</v>
      </c>
      <c r="I81" s="142">
        <f t="shared" si="36"/>
        <v>11343444.563554319</v>
      </c>
      <c r="J81" s="142">
        <f t="shared" si="36"/>
        <v>11133690.768804319</v>
      </c>
      <c r="K81" s="142">
        <f t="shared" si="36"/>
        <v>11134190.768804319</v>
      </c>
      <c r="L81" s="142">
        <f t="shared" si="36"/>
        <v>11133690.768804319</v>
      </c>
      <c r="M81" s="142">
        <f t="shared" si="36"/>
        <v>11343444.563554319</v>
      </c>
      <c r="N81" s="142">
        <f t="shared" si="36"/>
        <v>139575868.07229316</v>
      </c>
    </row>
    <row r="82" spans="1:14" s="1" customFormat="1" ht="13.5" thickBot="1">
      <c r="A82" s="21"/>
      <c r="B82" s="22">
        <f t="shared" ref="B82:N82" si="37">+B81/B7</f>
        <v>5.7173936054925732E-2</v>
      </c>
      <c r="C82" s="22">
        <f t="shared" si="37"/>
        <v>5.6641578650302712E-2</v>
      </c>
      <c r="D82" s="22">
        <f t="shared" si="37"/>
        <v>3.9769754008110066E-2</v>
      </c>
      <c r="E82" s="22">
        <f t="shared" si="37"/>
        <v>4.1518419519561714E-2</v>
      </c>
      <c r="F82" s="22">
        <f t="shared" si="37"/>
        <v>3.9762535914917463E-2</v>
      </c>
      <c r="G82" s="22">
        <f t="shared" si="37"/>
        <v>4.0752524575762693E-2</v>
      </c>
      <c r="H82" s="22">
        <f t="shared" si="37"/>
        <v>3.9550660813875919E-2</v>
      </c>
      <c r="I82" s="22">
        <f t="shared" si="37"/>
        <v>4.0511644451361281E-2</v>
      </c>
      <c r="J82" s="22">
        <f t="shared" si="37"/>
        <v>4.2886919169526735E-2</v>
      </c>
      <c r="K82" s="22">
        <f t="shared" si="37"/>
        <v>4.0238554003511479E-2</v>
      </c>
      <c r="L82" s="22">
        <f t="shared" si="37"/>
        <v>4.2886919169526735E-2</v>
      </c>
      <c r="M82" s="22">
        <f t="shared" si="37"/>
        <v>4.0994789485310372E-2</v>
      </c>
      <c r="N82" s="22">
        <f t="shared" si="37"/>
        <v>4.3238482896560043E-2</v>
      </c>
    </row>
    <row r="83" spans="1:14" s="1" customFormat="1" ht="13.5" thickBot="1">
      <c r="A83" s="11" t="s">
        <v>28</v>
      </c>
      <c r="B83" s="19">
        <f>+B58+B81</f>
        <v>67103437</v>
      </c>
      <c r="C83" s="19">
        <f>+C58+C81</f>
        <v>65891095</v>
      </c>
      <c r="D83" s="19">
        <f>+D58+D81</f>
        <v>81263967.975334734</v>
      </c>
      <c r="E83" s="19">
        <f>+E58+E81</f>
        <v>85076412.975334734</v>
      </c>
      <c r="F83" s="19">
        <f t="shared" ref="F83:N83" si="38">+F58+F81</f>
        <v>81263967.975334734</v>
      </c>
      <c r="G83" s="19">
        <f t="shared" si="38"/>
        <v>81309467.975334734</v>
      </c>
      <c r="H83" s="20">
        <f t="shared" si="38"/>
        <v>81263967.975334734</v>
      </c>
      <c r="I83" s="19">
        <f t="shared" si="38"/>
        <v>85076412.975334734</v>
      </c>
      <c r="J83" s="19">
        <f t="shared" si="38"/>
        <v>81263967.975334734</v>
      </c>
      <c r="K83" s="19">
        <f t="shared" si="38"/>
        <v>81309467.975334734</v>
      </c>
      <c r="L83" s="19">
        <f t="shared" si="38"/>
        <v>81263967.975334734</v>
      </c>
      <c r="M83" s="19">
        <f t="shared" si="38"/>
        <v>85076412.975334734</v>
      </c>
      <c r="N83" s="19">
        <f t="shared" si="38"/>
        <v>956652229.75334728</v>
      </c>
    </row>
    <row r="84" spans="1:14" s="1" customFormat="1" ht="13.5" thickBot="1">
      <c r="A84" s="21"/>
      <c r="B84" s="22">
        <f t="shared" ref="B84:N84" si="39">+B83/B7</f>
        <v>0.27712836766457877</v>
      </c>
      <c r="C84" s="22">
        <f t="shared" si="39"/>
        <v>0.26851428510767461</v>
      </c>
      <c r="D84" s="22">
        <f t="shared" si="39"/>
        <v>0.2902764306295777</v>
      </c>
      <c r="E84" s="22">
        <f t="shared" si="39"/>
        <v>0.31139026468893422</v>
      </c>
      <c r="F84" s="22">
        <f t="shared" si="39"/>
        <v>0.29022374631255948</v>
      </c>
      <c r="G84" s="22">
        <f t="shared" si="39"/>
        <v>0.29760277695177806</v>
      </c>
      <c r="H84" s="22">
        <f t="shared" si="39"/>
        <v>0.2886772859533358</v>
      </c>
      <c r="I84" s="22">
        <f t="shared" si="39"/>
        <v>0.30383940031122242</v>
      </c>
      <c r="J84" s="22">
        <f t="shared" si="39"/>
        <v>0.31302838369809255</v>
      </c>
      <c r="K84" s="22">
        <f t="shared" si="39"/>
        <v>0.29384941268377818</v>
      </c>
      <c r="L84" s="22">
        <f t="shared" si="39"/>
        <v>0.31302838369809255</v>
      </c>
      <c r="M84" s="22">
        <f t="shared" si="39"/>
        <v>0.30746301271616161</v>
      </c>
      <c r="N84" s="22">
        <f t="shared" si="39"/>
        <v>0.29635632323434019</v>
      </c>
    </row>
    <row r="85" spans="1:14" s="1" customFormat="1" ht="13.5" thickBot="1">
      <c r="A85" s="150" t="s">
        <v>98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s="1" customFormat="1" ht="13.5" thickBot="1">
      <c r="A86" s="151" t="s">
        <v>29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s="1" customFormat="1" ht="15.75" thickBot="1">
      <c r="A87" s="51" t="s">
        <v>280</v>
      </c>
      <c r="B87" s="29">
        <v>1050000</v>
      </c>
      <c r="C87" s="29">
        <v>600000</v>
      </c>
      <c r="D87" s="29">
        <v>600000</v>
      </c>
      <c r="E87" s="29">
        <v>600000</v>
      </c>
      <c r="F87" s="29">
        <v>600000</v>
      </c>
      <c r="G87" s="29">
        <v>0</v>
      </c>
      <c r="H87" s="29">
        <v>0</v>
      </c>
      <c r="I87" s="29">
        <v>0</v>
      </c>
      <c r="J87" s="29">
        <v>0</v>
      </c>
      <c r="K87" s="29">
        <v>600000</v>
      </c>
      <c r="L87" s="29">
        <v>0</v>
      </c>
      <c r="M87" s="29">
        <v>0</v>
      </c>
      <c r="N87" s="17">
        <f>SUM(B87:M87)</f>
        <v>4050000</v>
      </c>
    </row>
    <row r="88" spans="1:14" s="1" customFormat="1" ht="13.5" thickBot="1">
      <c r="A88" s="150" t="s">
        <v>30</v>
      </c>
      <c r="B88" s="152">
        <f>+B87</f>
        <v>1050000</v>
      </c>
      <c r="C88" s="152">
        <f t="shared" ref="C88:N88" si="40">+C87</f>
        <v>600000</v>
      </c>
      <c r="D88" s="152">
        <f t="shared" si="40"/>
        <v>600000</v>
      </c>
      <c r="E88" s="152">
        <f t="shared" si="40"/>
        <v>600000</v>
      </c>
      <c r="F88" s="152">
        <f t="shared" si="40"/>
        <v>600000</v>
      </c>
      <c r="G88" s="152">
        <f t="shared" si="40"/>
        <v>0</v>
      </c>
      <c r="H88" s="152">
        <f t="shared" si="40"/>
        <v>0</v>
      </c>
      <c r="I88" s="152">
        <f t="shared" si="40"/>
        <v>0</v>
      </c>
      <c r="J88" s="152">
        <f t="shared" si="40"/>
        <v>0</v>
      </c>
      <c r="K88" s="152">
        <f t="shared" si="40"/>
        <v>600000</v>
      </c>
      <c r="L88" s="152">
        <f t="shared" si="40"/>
        <v>0</v>
      </c>
      <c r="M88" s="152">
        <f t="shared" si="40"/>
        <v>0</v>
      </c>
      <c r="N88" s="152">
        <f t="shared" si="40"/>
        <v>4050000</v>
      </c>
    </row>
    <row r="89" spans="1:14" s="1" customFormat="1" ht="13.5" thickBot="1">
      <c r="A89" s="150" t="s">
        <v>259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s="1" customFormat="1">
      <c r="A90" s="37" t="s">
        <v>89</v>
      </c>
      <c r="B90" s="29">
        <v>280764</v>
      </c>
      <c r="C90" s="29">
        <v>280764</v>
      </c>
      <c r="D90" s="29">
        <v>280764</v>
      </c>
      <c r="E90" s="29">
        <v>280764</v>
      </c>
      <c r="F90" s="29">
        <v>280764</v>
      </c>
      <c r="G90" s="29">
        <v>280764</v>
      </c>
      <c r="H90" s="29">
        <v>280764</v>
      </c>
      <c r="I90" s="29">
        <v>280764</v>
      </c>
      <c r="J90" s="29">
        <v>280764</v>
      </c>
      <c r="K90" s="29">
        <v>280764</v>
      </c>
      <c r="L90" s="29">
        <v>280764</v>
      </c>
      <c r="M90" s="29">
        <v>280764</v>
      </c>
      <c r="N90" s="17">
        <f>SUM(B90:M90)</f>
        <v>3369168</v>
      </c>
    </row>
    <row r="91" spans="1:14" s="1" customFormat="1" ht="13.5" thickBot="1">
      <c r="A91" s="37" t="s">
        <v>31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17">
        <f t="shared" ref="N91" si="41">SUM(B91:M91)</f>
        <v>0</v>
      </c>
    </row>
    <row r="92" spans="1:14" s="1" customFormat="1" ht="13.5" thickBot="1">
      <c r="A92" s="150" t="s">
        <v>260</v>
      </c>
      <c r="B92" s="152">
        <f>+B90+B91</f>
        <v>280764</v>
      </c>
      <c r="C92" s="152">
        <f t="shared" ref="C92:M92" si="42">+C90+C91</f>
        <v>280764</v>
      </c>
      <c r="D92" s="152">
        <f t="shared" si="42"/>
        <v>280764</v>
      </c>
      <c r="E92" s="152">
        <f t="shared" si="42"/>
        <v>280764</v>
      </c>
      <c r="F92" s="152">
        <f t="shared" si="42"/>
        <v>280764</v>
      </c>
      <c r="G92" s="152">
        <f t="shared" si="42"/>
        <v>280764</v>
      </c>
      <c r="H92" s="152">
        <f t="shared" si="42"/>
        <v>280764</v>
      </c>
      <c r="I92" s="152">
        <f t="shared" si="42"/>
        <v>280764</v>
      </c>
      <c r="J92" s="152">
        <f t="shared" si="42"/>
        <v>280764</v>
      </c>
      <c r="K92" s="152">
        <f t="shared" si="42"/>
        <v>280764</v>
      </c>
      <c r="L92" s="152">
        <f t="shared" si="42"/>
        <v>280764</v>
      </c>
      <c r="M92" s="152">
        <f t="shared" si="42"/>
        <v>280764</v>
      </c>
      <c r="N92" s="152">
        <f>SUM(B92:M92)</f>
        <v>3369168</v>
      </c>
    </row>
    <row r="93" spans="1:14" s="1" customFormat="1" ht="13.5" thickBot="1">
      <c r="A93" s="150" t="s">
        <v>32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 s="1" customFormat="1">
      <c r="A94" s="27" t="s">
        <v>99</v>
      </c>
      <c r="B94" s="29">
        <v>352296</v>
      </c>
      <c r="C94" s="29">
        <v>1652500</v>
      </c>
      <c r="D94" s="29">
        <v>281000</v>
      </c>
      <c r="E94" s="29">
        <v>281000</v>
      </c>
      <c r="F94" s="29">
        <v>281000</v>
      </c>
      <c r="G94" s="29">
        <v>281000</v>
      </c>
      <c r="H94" s="29">
        <v>281000</v>
      </c>
      <c r="I94" s="29">
        <v>281000</v>
      </c>
      <c r="J94" s="29">
        <v>281000</v>
      </c>
      <c r="K94" s="29">
        <v>281000</v>
      </c>
      <c r="L94" s="29">
        <v>281000</v>
      </c>
      <c r="M94" s="29">
        <v>281000</v>
      </c>
      <c r="N94" s="17">
        <f t="shared" ref="N94:N97" si="43">SUM(B94:M94)</f>
        <v>4814796</v>
      </c>
    </row>
    <row r="95" spans="1:14" s="1" customFormat="1">
      <c r="A95" s="153" t="s">
        <v>100</v>
      </c>
      <c r="B95" s="154">
        <v>213878</v>
      </c>
      <c r="C95" s="154">
        <v>82724</v>
      </c>
      <c r="D95" s="154">
        <v>213878</v>
      </c>
      <c r="E95" s="154">
        <v>213878</v>
      </c>
      <c r="F95" s="154">
        <v>213878</v>
      </c>
      <c r="G95" s="154">
        <v>213878</v>
      </c>
      <c r="H95" s="154">
        <v>213878</v>
      </c>
      <c r="I95" s="154">
        <v>213878</v>
      </c>
      <c r="J95" s="154">
        <v>213878</v>
      </c>
      <c r="K95" s="154">
        <v>213878</v>
      </c>
      <c r="L95" s="154">
        <v>213878</v>
      </c>
      <c r="M95" s="154">
        <v>213878</v>
      </c>
      <c r="N95" s="17">
        <f t="shared" si="43"/>
        <v>2435382</v>
      </c>
    </row>
    <row r="96" spans="1:14" s="1" customFormat="1">
      <c r="A96" s="153" t="s">
        <v>101</v>
      </c>
      <c r="B96" s="154">
        <v>120000</v>
      </c>
      <c r="C96" s="154">
        <v>312800</v>
      </c>
      <c r="D96" s="154">
        <v>250000</v>
      </c>
      <c r="E96" s="154">
        <v>250000</v>
      </c>
      <c r="F96" s="154">
        <v>250000</v>
      </c>
      <c r="G96" s="154">
        <v>250000</v>
      </c>
      <c r="H96" s="154">
        <v>250000</v>
      </c>
      <c r="I96" s="154">
        <v>250000</v>
      </c>
      <c r="J96" s="154">
        <v>250000</v>
      </c>
      <c r="K96" s="154">
        <v>250000</v>
      </c>
      <c r="L96" s="154">
        <v>250000</v>
      </c>
      <c r="M96" s="154">
        <v>250000</v>
      </c>
      <c r="N96" s="17">
        <f t="shared" si="43"/>
        <v>2932800</v>
      </c>
    </row>
    <row r="97" spans="1:16" s="1" customFormat="1" ht="13.5" thickBot="1">
      <c r="A97" s="27" t="s">
        <v>91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17">
        <f t="shared" si="43"/>
        <v>0</v>
      </c>
    </row>
    <row r="98" spans="1:16" s="1" customFormat="1" ht="13.5" thickBot="1">
      <c r="A98" s="150" t="s">
        <v>33</v>
      </c>
      <c r="B98" s="152">
        <f>+B94+B95+B96+B97</f>
        <v>686174</v>
      </c>
      <c r="C98" s="152">
        <f t="shared" ref="C98:M98" si="44">+C94+C95+C96+C97</f>
        <v>2048024</v>
      </c>
      <c r="D98" s="152">
        <f t="shared" si="44"/>
        <v>744878</v>
      </c>
      <c r="E98" s="152">
        <f t="shared" si="44"/>
        <v>744878</v>
      </c>
      <c r="F98" s="152">
        <f t="shared" si="44"/>
        <v>744878</v>
      </c>
      <c r="G98" s="152">
        <f t="shared" si="44"/>
        <v>744878</v>
      </c>
      <c r="H98" s="152">
        <f t="shared" si="44"/>
        <v>744878</v>
      </c>
      <c r="I98" s="152">
        <f t="shared" si="44"/>
        <v>744878</v>
      </c>
      <c r="J98" s="152">
        <f t="shared" si="44"/>
        <v>744878</v>
      </c>
      <c r="K98" s="152">
        <f t="shared" si="44"/>
        <v>744878</v>
      </c>
      <c r="L98" s="152">
        <f t="shared" si="44"/>
        <v>744878</v>
      </c>
      <c r="M98" s="152">
        <f t="shared" si="44"/>
        <v>744878</v>
      </c>
      <c r="N98" s="152">
        <f>SUM(B98:M98)</f>
        <v>10182978</v>
      </c>
    </row>
    <row r="99" spans="1:16" s="1" customFormat="1" ht="13.5" thickBot="1">
      <c r="A99" s="150" t="s">
        <v>266</v>
      </c>
      <c r="B99" s="12"/>
      <c r="C99" s="12"/>
      <c r="D99" s="12"/>
      <c r="E99" s="12"/>
      <c r="F99" s="12"/>
      <c r="G99" s="12"/>
      <c r="H99" s="13"/>
      <c r="I99" s="12"/>
      <c r="J99" s="12"/>
      <c r="K99" s="12"/>
      <c r="L99" s="12"/>
      <c r="M99" s="12"/>
      <c r="N99" s="12"/>
    </row>
    <row r="100" spans="1:16">
      <c r="A100" s="27" t="s">
        <v>34</v>
      </c>
      <c r="B100" s="29">
        <f>1276275</f>
        <v>1276275</v>
      </c>
      <c r="C100" s="29">
        <v>2000900</v>
      </c>
      <c r="D100" s="29">
        <f>987700+600000</f>
        <v>1587700</v>
      </c>
      <c r="E100" s="29"/>
      <c r="F100" s="29">
        <v>987700</v>
      </c>
      <c r="G100" s="29">
        <v>600000</v>
      </c>
      <c r="H100" s="29">
        <v>987700</v>
      </c>
      <c r="I100" s="29"/>
      <c r="J100" s="29">
        <f>987700+600000</f>
        <v>1587700</v>
      </c>
      <c r="K100" s="29"/>
      <c r="L100" s="29">
        <v>987700</v>
      </c>
      <c r="M100" s="29">
        <v>600000</v>
      </c>
      <c r="N100" s="17">
        <f t="shared" ref="N100:N101" si="45">SUM(B100:M100)</f>
        <v>10615675</v>
      </c>
    </row>
    <row r="101" spans="1:16">
      <c r="A101" s="27" t="s">
        <v>35</v>
      </c>
      <c r="B101" s="29">
        <f>631723+1122000</f>
        <v>1753723</v>
      </c>
      <c r="C101" s="29">
        <v>3806100</v>
      </c>
      <c r="D101" s="29">
        <v>200000</v>
      </c>
      <c r="E101" s="29"/>
      <c r="F101" s="29"/>
      <c r="G101" s="29">
        <v>6700000</v>
      </c>
      <c r="H101" s="29"/>
      <c r="I101" s="29"/>
      <c r="J101" s="29">
        <v>200000</v>
      </c>
      <c r="K101" s="29"/>
      <c r="L101" s="29"/>
      <c r="M101" s="29">
        <v>200000</v>
      </c>
      <c r="N101" s="17">
        <f t="shared" si="45"/>
        <v>12859823</v>
      </c>
    </row>
    <row r="102" spans="1:16">
      <c r="A102" s="44" t="s">
        <v>267</v>
      </c>
      <c r="B102" s="29"/>
      <c r="C102" s="29">
        <v>214200</v>
      </c>
      <c r="D102" s="29"/>
      <c r="E102" s="29">
        <v>214200</v>
      </c>
      <c r="F102" s="29"/>
      <c r="G102" s="29">
        <v>214200</v>
      </c>
      <c r="H102" s="29"/>
      <c r="I102" s="29">
        <v>214200</v>
      </c>
      <c r="J102" s="29"/>
      <c r="K102" s="29">
        <v>214200</v>
      </c>
      <c r="L102" s="45"/>
      <c r="M102" s="29">
        <v>214200</v>
      </c>
      <c r="N102" s="17">
        <f>SUM(B102:M102)</f>
        <v>1285200</v>
      </c>
    </row>
    <row r="103" spans="1:16" ht="13.5" thickBot="1">
      <c r="A103" s="14" t="s">
        <v>268</v>
      </c>
      <c r="B103" s="29"/>
      <c r="C103" s="29">
        <v>220745</v>
      </c>
      <c r="D103" s="29"/>
      <c r="E103" s="29"/>
      <c r="F103" s="29">
        <v>220745</v>
      </c>
      <c r="G103" s="29"/>
      <c r="H103" s="29"/>
      <c r="I103" s="29">
        <v>220745</v>
      </c>
      <c r="J103" s="29"/>
      <c r="K103" s="29"/>
      <c r="L103" s="15">
        <v>220745</v>
      </c>
      <c r="M103" s="29"/>
      <c r="N103" s="17">
        <f>SUM(B103:M103)</f>
        <v>882980</v>
      </c>
    </row>
    <row r="104" spans="1:16" s="32" customFormat="1" ht="13.5" thickBot="1">
      <c r="A104" s="158" t="s">
        <v>36</v>
      </c>
      <c r="B104" s="158">
        <f>SUM(B100:B103)</f>
        <v>3029998</v>
      </c>
      <c r="C104" s="158">
        <f t="shared" ref="C104:M104" si="46">SUM(C100:C103)</f>
        <v>6241945</v>
      </c>
      <c r="D104" s="158">
        <f t="shared" si="46"/>
        <v>1787700</v>
      </c>
      <c r="E104" s="158">
        <f t="shared" si="46"/>
        <v>214200</v>
      </c>
      <c r="F104" s="158">
        <f t="shared" si="46"/>
        <v>1208445</v>
      </c>
      <c r="G104" s="158">
        <f t="shared" si="46"/>
        <v>7514200</v>
      </c>
      <c r="H104" s="158">
        <f t="shared" si="46"/>
        <v>987700</v>
      </c>
      <c r="I104" s="158">
        <f t="shared" si="46"/>
        <v>434945</v>
      </c>
      <c r="J104" s="158">
        <f t="shared" si="46"/>
        <v>1787700</v>
      </c>
      <c r="K104" s="158">
        <f t="shared" si="46"/>
        <v>214200</v>
      </c>
      <c r="L104" s="158">
        <f t="shared" si="46"/>
        <v>1208445</v>
      </c>
      <c r="M104" s="158">
        <f t="shared" si="46"/>
        <v>1014200</v>
      </c>
      <c r="N104" s="158">
        <f t="shared" ref="N104" si="47">SUM(N100:N101)</f>
        <v>23475498</v>
      </c>
    </row>
    <row r="105" spans="1:16" s="1" customFormat="1" ht="13.5" thickBot="1">
      <c r="A105" s="150" t="s">
        <v>37</v>
      </c>
      <c r="B105" s="25"/>
      <c r="C105" s="25"/>
      <c r="D105" s="25"/>
      <c r="E105" s="25"/>
      <c r="F105" s="25"/>
      <c r="G105" s="25"/>
      <c r="H105" s="26"/>
      <c r="I105" s="25"/>
      <c r="J105" s="25"/>
      <c r="K105" s="25"/>
      <c r="L105" s="25"/>
      <c r="M105" s="25"/>
      <c r="N105" s="25"/>
    </row>
    <row r="106" spans="1:16">
      <c r="A106" s="27" t="s">
        <v>38</v>
      </c>
      <c r="B106" s="29">
        <v>0</v>
      </c>
      <c r="C106" s="29">
        <v>1708840</v>
      </c>
      <c r="D106" s="29"/>
      <c r="E106" s="29"/>
      <c r="F106" s="29">
        <v>1708840</v>
      </c>
      <c r="G106" s="29"/>
      <c r="H106" s="16"/>
      <c r="I106" s="29"/>
      <c r="J106" s="29">
        <v>1708840</v>
      </c>
      <c r="K106" s="29"/>
      <c r="L106" s="29"/>
      <c r="M106" s="29">
        <v>1708840</v>
      </c>
      <c r="N106" s="17">
        <f t="shared" ref="N106:N110" si="48">SUM(B106:M106)</f>
        <v>6835360</v>
      </c>
      <c r="P106" s="3">
        <f>+M106-I106</f>
        <v>1708840</v>
      </c>
    </row>
    <row r="107" spans="1:16">
      <c r="A107" s="27" t="s">
        <v>281</v>
      </c>
      <c r="B107" s="29">
        <v>73500</v>
      </c>
      <c r="C107" s="29">
        <v>11000</v>
      </c>
      <c r="D107" s="29">
        <v>500000</v>
      </c>
      <c r="E107" s="29">
        <v>500000</v>
      </c>
      <c r="F107" s="29">
        <v>500000</v>
      </c>
      <c r="G107" s="29">
        <v>500000</v>
      </c>
      <c r="H107" s="29">
        <v>500000</v>
      </c>
      <c r="I107" s="29">
        <v>500000</v>
      </c>
      <c r="J107" s="29">
        <v>500000</v>
      </c>
      <c r="K107" s="29">
        <v>500000</v>
      </c>
      <c r="L107" s="29">
        <v>500000</v>
      </c>
      <c r="M107" s="29">
        <v>500000</v>
      </c>
      <c r="N107" s="17">
        <f t="shared" si="48"/>
        <v>5084500</v>
      </c>
    </row>
    <row r="108" spans="1:16">
      <c r="A108" s="27" t="s">
        <v>263</v>
      </c>
      <c r="B108" s="29">
        <v>467000</v>
      </c>
      <c r="C108" s="29">
        <v>200000</v>
      </c>
      <c r="D108" s="29">
        <v>200000</v>
      </c>
      <c r="E108" s="29">
        <v>200000</v>
      </c>
      <c r="F108" s="29">
        <v>200000</v>
      </c>
      <c r="G108" s="29">
        <v>200000</v>
      </c>
      <c r="H108" s="29">
        <v>200000</v>
      </c>
      <c r="I108" s="29">
        <v>200000</v>
      </c>
      <c r="J108" s="29">
        <v>200000</v>
      </c>
      <c r="K108" s="29">
        <v>200000</v>
      </c>
      <c r="L108" s="29">
        <v>200000</v>
      </c>
      <c r="M108" s="29">
        <v>200000</v>
      </c>
      <c r="N108" s="17">
        <f t="shared" si="48"/>
        <v>2667000</v>
      </c>
      <c r="P108" s="3">
        <f>+M108-I108</f>
        <v>0</v>
      </c>
    </row>
    <row r="109" spans="1:16">
      <c r="A109" s="27" t="s">
        <v>264</v>
      </c>
      <c r="B109" s="29">
        <v>20000</v>
      </c>
      <c r="C109" s="29">
        <v>40000</v>
      </c>
      <c r="D109" s="29">
        <v>40000</v>
      </c>
      <c r="E109" s="29">
        <v>40000</v>
      </c>
      <c r="F109" s="29">
        <v>40000</v>
      </c>
      <c r="G109" s="29">
        <v>40000</v>
      </c>
      <c r="H109" s="29">
        <v>40000</v>
      </c>
      <c r="I109" s="29">
        <v>40000</v>
      </c>
      <c r="J109" s="29">
        <v>40000</v>
      </c>
      <c r="K109" s="29">
        <v>40000</v>
      </c>
      <c r="L109" s="29">
        <v>40000</v>
      </c>
      <c r="M109" s="29">
        <v>40000</v>
      </c>
      <c r="N109" s="17">
        <f t="shared" si="48"/>
        <v>460000</v>
      </c>
    </row>
    <row r="110" spans="1:16" ht="13.5" thickBot="1">
      <c r="A110" s="14"/>
      <c r="B110" s="15">
        <v>0</v>
      </c>
      <c r="C110" s="15">
        <v>0</v>
      </c>
      <c r="D110" s="15"/>
      <c r="E110" s="15"/>
      <c r="F110" s="15"/>
      <c r="G110" s="15"/>
      <c r="H110" s="16"/>
      <c r="I110" s="15"/>
      <c r="J110" s="15"/>
      <c r="K110" s="15"/>
      <c r="L110" s="15"/>
      <c r="M110" s="15"/>
      <c r="N110" s="17">
        <f t="shared" si="48"/>
        <v>0</v>
      </c>
      <c r="P110" s="3">
        <f>+M110-I110</f>
        <v>0</v>
      </c>
    </row>
    <row r="111" spans="1:16" s="32" customFormat="1" ht="13.5" thickBot="1">
      <c r="A111" s="158" t="s">
        <v>39</v>
      </c>
      <c r="B111" s="158">
        <f t="shared" ref="B111:N111" si="49">SUM(B106:B110)</f>
        <v>560500</v>
      </c>
      <c r="C111" s="158">
        <f t="shared" si="49"/>
        <v>1959840</v>
      </c>
      <c r="D111" s="158">
        <f t="shared" si="49"/>
        <v>740000</v>
      </c>
      <c r="E111" s="158">
        <f t="shared" si="49"/>
        <v>740000</v>
      </c>
      <c r="F111" s="158">
        <f t="shared" si="49"/>
        <v>2448840</v>
      </c>
      <c r="G111" s="158">
        <f t="shared" si="49"/>
        <v>740000</v>
      </c>
      <c r="H111" s="158">
        <f t="shared" si="49"/>
        <v>740000</v>
      </c>
      <c r="I111" s="158">
        <f t="shared" si="49"/>
        <v>740000</v>
      </c>
      <c r="J111" s="158">
        <f t="shared" si="49"/>
        <v>2448840</v>
      </c>
      <c r="K111" s="158">
        <f t="shared" si="49"/>
        <v>740000</v>
      </c>
      <c r="L111" s="158">
        <f t="shared" si="49"/>
        <v>740000</v>
      </c>
      <c r="M111" s="158">
        <f t="shared" si="49"/>
        <v>2448840</v>
      </c>
      <c r="N111" s="158">
        <f t="shared" si="49"/>
        <v>15046860</v>
      </c>
    </row>
    <row r="112" spans="1:16" s="32" customFormat="1" ht="13.5" thickBot="1">
      <c r="A112" s="158" t="s">
        <v>40</v>
      </c>
      <c r="B112" s="158">
        <f>+B111+B104+B98+B92+B88</f>
        <v>5607436</v>
      </c>
      <c r="C112" s="158">
        <f>+C111+C104+C98+C92+C88</f>
        <v>11130573</v>
      </c>
      <c r="D112" s="158">
        <f>+D111+D104+D98+D92+D88</f>
        <v>4153342</v>
      </c>
      <c r="E112" s="158">
        <f>+E111+E104+E98+E92+E88</f>
        <v>2579842</v>
      </c>
      <c r="F112" s="158">
        <f t="shared" ref="F112:M112" si="50">+F111+F104+F98+F92+F88</f>
        <v>5282927</v>
      </c>
      <c r="G112" s="158">
        <f t="shared" si="50"/>
        <v>9279842</v>
      </c>
      <c r="H112" s="158">
        <f t="shared" si="50"/>
        <v>2753342</v>
      </c>
      <c r="I112" s="158">
        <f t="shared" si="50"/>
        <v>2200587</v>
      </c>
      <c r="J112" s="158">
        <f t="shared" si="50"/>
        <v>5262182</v>
      </c>
      <c r="K112" s="158">
        <f t="shared" si="50"/>
        <v>2579842</v>
      </c>
      <c r="L112" s="158">
        <f t="shared" si="50"/>
        <v>2974087</v>
      </c>
      <c r="M112" s="158">
        <f t="shared" si="50"/>
        <v>4488682</v>
      </c>
      <c r="N112" s="158">
        <f>+N111+N104+N98+N92+N88</f>
        <v>56124504</v>
      </c>
      <c r="P112" s="32">
        <f>+M112-I112</f>
        <v>2288095</v>
      </c>
    </row>
    <row r="113" spans="1:14" s="40" customFormat="1" ht="12" thickBot="1">
      <c r="A113" s="38"/>
      <c r="B113" s="39">
        <f t="shared" ref="B113:N113" si="51">+B112/B17</f>
        <v>2.3448285367371983E-2</v>
      </c>
      <c r="C113" s="39">
        <f t="shared" si="51"/>
        <v>4.8987498576222824E-2</v>
      </c>
      <c r="D113" s="39">
        <f t="shared" si="51"/>
        <v>1.4902742577573977E-2</v>
      </c>
      <c r="E113" s="39">
        <f t="shared" si="51"/>
        <v>9.9858984712651172E-3</v>
      </c>
      <c r="F113" s="39">
        <f t="shared" si="51"/>
        <v>1.8952387596913967E-2</v>
      </c>
      <c r="G113" s="39">
        <f t="shared" si="51"/>
        <v>3.5919858674051286E-2</v>
      </c>
      <c r="H113" s="39">
        <f t="shared" si="51"/>
        <v>9.995893704765212E-3</v>
      </c>
      <c r="I113" s="39">
        <f t="shared" si="51"/>
        <v>7.8945587862050935E-3</v>
      </c>
      <c r="J113" s="39">
        <f t="shared" si="51"/>
        <v>2.0368540084748917E-2</v>
      </c>
      <c r="K113" s="39">
        <f t="shared" si="51"/>
        <v>9.3660091652576737E-3</v>
      </c>
      <c r="L113" s="39">
        <f t="shared" si="51"/>
        <v>1.1511918492182645E-2</v>
      </c>
      <c r="M113" s="39">
        <f t="shared" si="51"/>
        <v>1.6295973455710523E-2</v>
      </c>
      <c r="N113" s="39">
        <f t="shared" si="51"/>
        <v>1.7748112598792776E-2</v>
      </c>
    </row>
    <row r="114" spans="1:14" s="32" customFormat="1" ht="13.5" thickBot="1">
      <c r="A114" s="160" t="s">
        <v>41</v>
      </c>
      <c r="B114" s="160">
        <f>+B112+B141+B83+B34</f>
        <v>190167620.78939998</v>
      </c>
      <c r="C114" s="160">
        <f>+C112+C141+C83+C34</f>
        <v>199150743.46100003</v>
      </c>
      <c r="D114" s="160">
        <f>+D34+D83+D112</f>
        <v>196895904.69386804</v>
      </c>
      <c r="E114" s="160">
        <f>+E34+E83+E112</f>
        <v>190995659.33333474</v>
      </c>
      <c r="F114" s="160">
        <f t="shared" ref="F114:N114" si="52">+F34+F83+F112</f>
        <v>198045817.69386804</v>
      </c>
      <c r="G114" s="160">
        <f t="shared" si="52"/>
        <v>193928714.33333474</v>
      </c>
      <c r="H114" s="160">
        <f t="shared" si="52"/>
        <v>194196232.69386804</v>
      </c>
      <c r="I114" s="160">
        <f t="shared" si="52"/>
        <v>198775922.69386804</v>
      </c>
      <c r="J114" s="160">
        <f t="shared" si="52"/>
        <v>189865554.33333474</v>
      </c>
      <c r="K114" s="160">
        <f t="shared" si="52"/>
        <v>194068232.69386804</v>
      </c>
      <c r="L114" s="160">
        <f t="shared" si="52"/>
        <v>187577459.33333474</v>
      </c>
      <c r="M114" s="160">
        <f t="shared" si="52"/>
        <v>199744017.69386804</v>
      </c>
      <c r="N114" s="160">
        <f t="shared" si="52"/>
        <v>2266826822.7065473</v>
      </c>
    </row>
    <row r="115" spans="1:14" s="40" customFormat="1" ht="12" thickBot="1">
      <c r="A115" s="38"/>
      <c r="B115" s="39">
        <f t="shared" ref="B115:N115" si="53">+B114/B7</f>
        <v>0.78536725819309416</v>
      </c>
      <c r="C115" s="39">
        <f t="shared" si="53"/>
        <v>0.8115636795699378</v>
      </c>
      <c r="D115" s="39">
        <f t="shared" si="53"/>
        <v>0.70331589564350339</v>
      </c>
      <c r="E115" s="39">
        <f t="shared" si="53"/>
        <v>0.69906789478168652</v>
      </c>
      <c r="F115" s="39">
        <f t="shared" si="53"/>
        <v>0.70729501136462081</v>
      </c>
      <c r="G115" s="39">
        <f t="shared" si="53"/>
        <v>0.70980324128791483</v>
      </c>
      <c r="H115" s="39">
        <f t="shared" si="53"/>
        <v>0.68985114550945437</v>
      </c>
      <c r="I115" s="39">
        <f t="shared" si="53"/>
        <v>0.70990248689874491</v>
      </c>
      <c r="J115" s="39">
        <f t="shared" si="53"/>
        <v>0.73136113179884799</v>
      </c>
      <c r="K115" s="39">
        <f t="shared" si="53"/>
        <v>0.7013554216708322</v>
      </c>
      <c r="L115" s="39">
        <f t="shared" si="53"/>
        <v>0.72254740171105458</v>
      </c>
      <c r="M115" s="39">
        <f t="shared" si="53"/>
        <v>0.72186749892701763</v>
      </c>
      <c r="N115" s="39">
        <f t="shared" si="53"/>
        <v>0.7022285023675745</v>
      </c>
    </row>
    <row r="116" spans="1:14" s="1" customFormat="1" ht="13.5" thickBot="1">
      <c r="A116" s="8" t="s">
        <v>42</v>
      </c>
      <c r="B116" s="41">
        <f t="shared" ref="B116:N116" si="54">+B7-B114</f>
        <v>51970842.210600019</v>
      </c>
      <c r="C116" s="41">
        <f>+C7-C114</f>
        <v>46240651.538999975</v>
      </c>
      <c r="D116" s="41">
        <f>+D7-D114</f>
        <v>83057820.102465272</v>
      </c>
      <c r="E116" s="41">
        <f>+E7-E114</f>
        <v>82219089.561665237</v>
      </c>
      <c r="F116" s="41">
        <f>+F7-F114</f>
        <v>81958727.102465272</v>
      </c>
      <c r="G116" s="41">
        <f t="shared" si="54"/>
        <v>79286034.561665237</v>
      </c>
      <c r="H116" s="42">
        <f t="shared" si="54"/>
        <v>87308312.102465272</v>
      </c>
      <c r="I116" s="41">
        <f t="shared" si="54"/>
        <v>81228622.102465272</v>
      </c>
      <c r="J116" s="41">
        <f t="shared" si="54"/>
        <v>69740194.561665267</v>
      </c>
      <c r="K116" s="41">
        <f t="shared" si="54"/>
        <v>82636312.102465272</v>
      </c>
      <c r="L116" s="41">
        <f t="shared" si="54"/>
        <v>72028289.561665267</v>
      </c>
      <c r="M116" s="41">
        <f t="shared" si="54"/>
        <v>76960527.102465272</v>
      </c>
      <c r="N116" s="41">
        <f t="shared" si="54"/>
        <v>961220479.65145254</v>
      </c>
    </row>
    <row r="117" spans="1:14" s="40" customFormat="1" ht="12" thickBot="1">
      <c r="A117" s="38"/>
      <c r="B117" s="39">
        <f t="shared" ref="B117:N117" si="55">+B116/B7</f>
        <v>0.21463274180690584</v>
      </c>
      <c r="C117" s="39">
        <f t="shared" si="55"/>
        <v>0.18843632043006225</v>
      </c>
      <c r="D117" s="39">
        <f t="shared" si="55"/>
        <v>0.29668410435649656</v>
      </c>
      <c r="E117" s="39">
        <f t="shared" si="55"/>
        <v>0.30093210521831348</v>
      </c>
      <c r="F117" s="39">
        <f t="shared" si="55"/>
        <v>0.29270498863537919</v>
      </c>
      <c r="G117" s="39">
        <f t="shared" si="55"/>
        <v>0.29019675871208511</v>
      </c>
      <c r="H117" s="39">
        <f t="shared" si="55"/>
        <v>0.31014885449054563</v>
      </c>
      <c r="I117" s="39">
        <f t="shared" si="55"/>
        <v>0.29009751310125509</v>
      </c>
      <c r="J117" s="39">
        <f t="shared" si="55"/>
        <v>0.26863886820115201</v>
      </c>
      <c r="K117" s="39">
        <f t="shared" si="55"/>
        <v>0.29864457832916774</v>
      </c>
      <c r="L117" s="39">
        <f t="shared" si="55"/>
        <v>0.27745259828894542</v>
      </c>
      <c r="M117" s="39">
        <f t="shared" si="55"/>
        <v>0.27813250107298237</v>
      </c>
      <c r="N117" s="39">
        <f t="shared" si="55"/>
        <v>0.29777149763242544</v>
      </c>
    </row>
    <row r="118" spans="1:14" s="43" customFormat="1" ht="13.5" thickBot="1">
      <c r="A118" s="47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</row>
    <row r="119" spans="1:14" s="1" customFormat="1" ht="13.5" thickBot="1">
      <c r="A119" s="53" t="s">
        <v>90</v>
      </c>
      <c r="B119" s="23"/>
      <c r="C119" s="23"/>
      <c r="D119" s="23"/>
      <c r="E119" s="23"/>
      <c r="F119" s="23"/>
      <c r="G119" s="23"/>
      <c r="H119" s="24"/>
      <c r="I119" s="23"/>
      <c r="J119" s="23"/>
      <c r="K119" s="23"/>
      <c r="L119" s="23"/>
      <c r="M119" s="23"/>
      <c r="N119" s="23"/>
    </row>
    <row r="120" spans="1:14" s="35" customFormat="1" ht="13.5" thickBot="1">
      <c r="A120" s="54" t="s">
        <v>29</v>
      </c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</row>
    <row r="121" spans="1:14" ht="15">
      <c r="A121" s="51" t="s">
        <v>276</v>
      </c>
      <c r="B121" s="29">
        <v>1000000</v>
      </c>
      <c r="C121" s="29">
        <v>1500000</v>
      </c>
      <c r="D121" s="29">
        <v>1000000</v>
      </c>
      <c r="E121" s="29"/>
      <c r="F121" s="29">
        <v>0</v>
      </c>
      <c r="G121" s="29">
        <v>120000</v>
      </c>
      <c r="H121" s="16"/>
      <c r="I121" s="29">
        <v>120000</v>
      </c>
      <c r="J121" s="29"/>
      <c r="K121" s="29">
        <v>120000</v>
      </c>
      <c r="L121" s="29"/>
      <c r="M121" s="29">
        <v>120000</v>
      </c>
      <c r="N121" s="17">
        <f t="shared" ref="N121:N123" si="56">SUM(B121:M121)</f>
        <v>3980000</v>
      </c>
    </row>
    <row r="122" spans="1:14" ht="15">
      <c r="A122" s="51" t="s">
        <v>88</v>
      </c>
      <c r="B122" s="29">
        <v>3690454</v>
      </c>
      <c r="C122" s="29">
        <v>3690454</v>
      </c>
      <c r="D122" s="29">
        <v>3690454</v>
      </c>
      <c r="E122" s="29">
        <v>3690454</v>
      </c>
      <c r="F122" s="29">
        <v>3690454</v>
      </c>
      <c r="G122" s="29">
        <v>3690454</v>
      </c>
      <c r="H122" s="29">
        <v>3690454</v>
      </c>
      <c r="I122" s="29">
        <v>3690454</v>
      </c>
      <c r="J122" s="29">
        <v>3690454</v>
      </c>
      <c r="K122" s="29">
        <v>3690454</v>
      </c>
      <c r="L122" s="29">
        <v>3690454</v>
      </c>
      <c r="M122" s="29">
        <v>3690454</v>
      </c>
      <c r="N122" s="17">
        <f t="shared" si="56"/>
        <v>44285448</v>
      </c>
    </row>
    <row r="123" spans="1:14" ht="15.75" thickBot="1">
      <c r="A123" s="51" t="s">
        <v>277</v>
      </c>
      <c r="B123" s="45"/>
      <c r="C123" s="45"/>
      <c r="D123" s="45">
        <v>1500000</v>
      </c>
      <c r="E123" s="45"/>
      <c r="F123" s="45"/>
      <c r="G123" s="45">
        <v>1500000</v>
      </c>
      <c r="H123" s="45"/>
      <c r="I123" s="45"/>
      <c r="J123" s="45"/>
      <c r="K123" s="45"/>
      <c r="L123" s="45"/>
      <c r="M123" s="45"/>
      <c r="N123" s="17">
        <f t="shared" si="56"/>
        <v>3000000</v>
      </c>
    </row>
    <row r="124" spans="1:14" s="1" customFormat="1" ht="13.5" thickBot="1">
      <c r="A124" s="53" t="s">
        <v>30</v>
      </c>
      <c r="B124" s="142">
        <f t="shared" ref="B124:N124" si="57">SUM(B121:B122)</f>
        <v>4690454</v>
      </c>
      <c r="C124" s="142">
        <f t="shared" si="57"/>
        <v>5190454</v>
      </c>
      <c r="D124" s="142">
        <f t="shared" si="57"/>
        <v>4690454</v>
      </c>
      <c r="E124" s="142">
        <f t="shared" si="57"/>
        <v>3690454</v>
      </c>
      <c r="F124" s="142">
        <f t="shared" si="57"/>
        <v>3690454</v>
      </c>
      <c r="G124" s="142">
        <f t="shared" si="57"/>
        <v>3810454</v>
      </c>
      <c r="H124" s="143">
        <f>SUM(H121:H122)</f>
        <v>3690454</v>
      </c>
      <c r="I124" s="142">
        <f t="shared" si="57"/>
        <v>3810454</v>
      </c>
      <c r="J124" s="142">
        <f t="shared" si="57"/>
        <v>3690454</v>
      </c>
      <c r="K124" s="142">
        <f t="shared" si="57"/>
        <v>3810454</v>
      </c>
      <c r="L124" s="142">
        <f t="shared" si="57"/>
        <v>3690454</v>
      </c>
      <c r="M124" s="142">
        <f t="shared" si="57"/>
        <v>3810454</v>
      </c>
      <c r="N124" s="142">
        <f t="shared" si="57"/>
        <v>48265448</v>
      </c>
    </row>
    <row r="125" spans="1:14" s="1" customFormat="1" ht="13.5" thickBot="1">
      <c r="A125" s="53" t="s">
        <v>37</v>
      </c>
      <c r="B125" s="25"/>
      <c r="C125" s="25"/>
      <c r="D125" s="25"/>
      <c r="E125" s="25"/>
      <c r="F125" s="25"/>
      <c r="G125" s="25"/>
      <c r="H125" s="26"/>
      <c r="I125" s="25"/>
      <c r="J125" s="25"/>
      <c r="K125" s="25"/>
      <c r="L125" s="25"/>
      <c r="M125" s="25"/>
      <c r="N125" s="25"/>
    </row>
    <row r="126" spans="1:14">
      <c r="A126" s="2" t="s">
        <v>92</v>
      </c>
      <c r="B126" s="29">
        <v>471000</v>
      </c>
      <c r="C126" s="29">
        <v>197550</v>
      </c>
      <c r="D126" s="29">
        <v>250000</v>
      </c>
      <c r="E126" s="29">
        <v>250000</v>
      </c>
      <c r="F126" s="29">
        <v>250000</v>
      </c>
      <c r="G126" s="29">
        <v>250000</v>
      </c>
      <c r="H126" s="29">
        <v>250000</v>
      </c>
      <c r="I126" s="29">
        <v>250000</v>
      </c>
      <c r="J126" s="29">
        <v>250000</v>
      </c>
      <c r="K126" s="29">
        <v>250000</v>
      </c>
      <c r="L126" s="29">
        <v>250000</v>
      </c>
      <c r="M126" s="29">
        <v>250000</v>
      </c>
      <c r="N126" s="17">
        <f t="shared" ref="N126:N129" si="58">SUM(B126:M126)</f>
        <v>3168550</v>
      </c>
    </row>
    <row r="127" spans="1:14">
      <c r="A127" s="37" t="s">
        <v>93</v>
      </c>
      <c r="B127" s="29">
        <v>50000</v>
      </c>
      <c r="C127" s="29"/>
      <c r="D127" s="29">
        <v>20000</v>
      </c>
      <c r="E127" s="29">
        <v>20000</v>
      </c>
      <c r="F127" s="29">
        <v>20000</v>
      </c>
      <c r="G127" s="29">
        <v>20000</v>
      </c>
      <c r="H127" s="29">
        <v>20000</v>
      </c>
      <c r="I127" s="29">
        <v>20000</v>
      </c>
      <c r="J127" s="29">
        <v>20000</v>
      </c>
      <c r="K127" s="29">
        <v>20000</v>
      </c>
      <c r="L127" s="29">
        <v>20000</v>
      </c>
      <c r="M127" s="29">
        <v>20000</v>
      </c>
      <c r="N127" s="17"/>
    </row>
    <row r="128" spans="1:14">
      <c r="A128" s="27" t="s">
        <v>278</v>
      </c>
      <c r="B128" s="29">
        <v>35300</v>
      </c>
      <c r="C128" s="29">
        <v>61400</v>
      </c>
      <c r="D128" s="29"/>
      <c r="E128" s="29"/>
      <c r="F128" s="29"/>
      <c r="G128" s="29"/>
      <c r="H128" s="16"/>
      <c r="I128" s="29"/>
      <c r="J128" s="29"/>
      <c r="K128" s="29"/>
      <c r="L128" s="29"/>
      <c r="M128" s="29"/>
      <c r="N128" s="17"/>
    </row>
    <row r="129" spans="1:14" ht="13.5" thickBot="1">
      <c r="A129" s="27"/>
      <c r="B129" s="29">
        <v>0</v>
      </c>
      <c r="C129" s="29"/>
      <c r="D129" s="29"/>
      <c r="E129" s="29"/>
      <c r="F129" s="29"/>
      <c r="G129" s="29"/>
      <c r="H129" s="16"/>
      <c r="I129" s="29"/>
      <c r="J129" s="29"/>
      <c r="K129" s="29"/>
      <c r="L129" s="29"/>
      <c r="M129" s="29"/>
      <c r="N129" s="17">
        <f t="shared" si="58"/>
        <v>0</v>
      </c>
    </row>
    <row r="130" spans="1:14" s="1" customFormat="1" ht="13.5" thickBot="1">
      <c r="A130" s="53" t="s">
        <v>39</v>
      </c>
      <c r="B130" s="142">
        <f t="shared" ref="B130:N130" si="59">SUM(B126:B129)</f>
        <v>556300</v>
      </c>
      <c r="C130" s="142">
        <f t="shared" si="59"/>
        <v>258950</v>
      </c>
      <c r="D130" s="142">
        <f t="shared" si="59"/>
        <v>270000</v>
      </c>
      <c r="E130" s="142">
        <f t="shared" si="59"/>
        <v>270000</v>
      </c>
      <c r="F130" s="142">
        <f t="shared" si="59"/>
        <v>270000</v>
      </c>
      <c r="G130" s="142">
        <f t="shared" si="59"/>
        <v>270000</v>
      </c>
      <c r="H130" s="143">
        <f t="shared" si="59"/>
        <v>270000</v>
      </c>
      <c r="I130" s="142">
        <f t="shared" si="59"/>
        <v>270000</v>
      </c>
      <c r="J130" s="142">
        <f t="shared" si="59"/>
        <v>270000</v>
      </c>
      <c r="K130" s="142">
        <f t="shared" si="59"/>
        <v>270000</v>
      </c>
      <c r="L130" s="142">
        <f t="shared" si="59"/>
        <v>270000</v>
      </c>
      <c r="M130" s="142">
        <f t="shared" si="59"/>
        <v>270000</v>
      </c>
      <c r="N130" s="142">
        <f t="shared" si="59"/>
        <v>3168550</v>
      </c>
    </row>
    <row r="131" spans="1:14" s="1" customFormat="1" ht="13.5" thickBot="1">
      <c r="A131" s="53" t="s">
        <v>50</v>
      </c>
      <c r="B131" s="25"/>
      <c r="C131" s="25"/>
      <c r="D131" s="25"/>
      <c r="E131" s="25"/>
      <c r="F131" s="25"/>
      <c r="G131" s="25"/>
      <c r="H131" s="26"/>
      <c r="I131" s="25"/>
      <c r="J131" s="25"/>
      <c r="K131" s="25"/>
      <c r="L131" s="25"/>
      <c r="M131" s="25"/>
      <c r="N131" s="25"/>
    </row>
    <row r="132" spans="1:14" s="1" customFormat="1" ht="13.5" thickBot="1">
      <c r="A132" s="27" t="s">
        <v>279</v>
      </c>
      <c r="B132" s="29">
        <v>400169</v>
      </c>
      <c r="C132" s="29">
        <v>400169</v>
      </c>
      <c r="D132" s="29">
        <v>400169</v>
      </c>
      <c r="E132" s="29">
        <v>400169</v>
      </c>
      <c r="F132" s="29">
        <v>400169</v>
      </c>
      <c r="G132" s="29">
        <v>400169</v>
      </c>
      <c r="H132" s="29">
        <v>400169</v>
      </c>
      <c r="I132" s="29">
        <v>400169</v>
      </c>
      <c r="J132" s="29">
        <v>400169</v>
      </c>
      <c r="K132" s="29">
        <v>400169</v>
      </c>
      <c r="L132" s="29">
        <v>500000</v>
      </c>
      <c r="M132" s="29">
        <v>500000</v>
      </c>
      <c r="N132" s="17">
        <f>SUM(B132:M132)</f>
        <v>5001690</v>
      </c>
    </row>
    <row r="133" spans="1:14" s="1" customFormat="1" ht="13.5" thickBot="1">
      <c r="A133" s="53" t="s">
        <v>51</v>
      </c>
      <c r="B133" s="142">
        <f t="shared" ref="B133:N133" si="60">SUM(B132:B132)</f>
        <v>400169</v>
      </c>
      <c r="C133" s="142">
        <f t="shared" si="60"/>
        <v>400169</v>
      </c>
      <c r="D133" s="142">
        <f t="shared" si="60"/>
        <v>400169</v>
      </c>
      <c r="E133" s="142">
        <f t="shared" si="60"/>
        <v>400169</v>
      </c>
      <c r="F133" s="142">
        <f t="shared" si="60"/>
        <v>400169</v>
      </c>
      <c r="G133" s="142">
        <f t="shared" si="60"/>
        <v>400169</v>
      </c>
      <c r="H133" s="143">
        <f t="shared" si="60"/>
        <v>400169</v>
      </c>
      <c r="I133" s="142">
        <f t="shared" si="60"/>
        <v>400169</v>
      </c>
      <c r="J133" s="142">
        <f t="shared" si="60"/>
        <v>400169</v>
      </c>
      <c r="K133" s="142">
        <f t="shared" si="60"/>
        <v>400169</v>
      </c>
      <c r="L133" s="142">
        <f t="shared" si="60"/>
        <v>500000</v>
      </c>
      <c r="M133" s="142">
        <f t="shared" si="60"/>
        <v>500000</v>
      </c>
      <c r="N133" s="142">
        <f t="shared" si="60"/>
        <v>5001690</v>
      </c>
    </row>
    <row r="134" spans="1:14" s="1" customFormat="1" ht="13.5" thickBot="1">
      <c r="A134" s="53" t="s">
        <v>94</v>
      </c>
      <c r="B134" s="25"/>
      <c r="C134" s="25"/>
      <c r="D134" s="25"/>
      <c r="E134" s="25"/>
      <c r="F134" s="25"/>
      <c r="G134" s="25"/>
      <c r="H134" s="26"/>
      <c r="I134" s="25"/>
      <c r="J134" s="25"/>
      <c r="K134" s="25"/>
      <c r="L134" s="25"/>
      <c r="M134" s="25"/>
      <c r="N134" s="25"/>
    </row>
    <row r="135" spans="1:14" s="1" customFormat="1">
      <c r="A135" s="27" t="s">
        <v>52</v>
      </c>
      <c r="B135" s="29">
        <v>22841076</v>
      </c>
      <c r="C135" s="29">
        <v>22841076</v>
      </c>
      <c r="D135" s="29">
        <v>22841076</v>
      </c>
      <c r="E135" s="29">
        <v>22841076</v>
      </c>
      <c r="F135" s="29">
        <v>22841076</v>
      </c>
      <c r="G135" s="29">
        <v>22841076</v>
      </c>
      <c r="H135" s="29">
        <v>22841076</v>
      </c>
      <c r="I135" s="29">
        <v>22841076</v>
      </c>
      <c r="J135" s="29">
        <v>22841076</v>
      </c>
      <c r="K135" s="29">
        <v>22841076</v>
      </c>
      <c r="L135" s="29">
        <v>22841076</v>
      </c>
      <c r="M135" s="29">
        <v>22841076</v>
      </c>
      <c r="N135" s="17">
        <f>SUM(B135:M135)</f>
        <v>274092912</v>
      </c>
    </row>
    <row r="136" spans="1:14" s="1" customFormat="1" ht="13.5" thickBot="1">
      <c r="A136" s="44"/>
      <c r="B136" s="17"/>
      <c r="C136" s="17"/>
      <c r="D136" s="45"/>
      <c r="E136" s="45"/>
      <c r="F136" s="45"/>
      <c r="G136" s="45"/>
      <c r="H136" s="16"/>
      <c r="I136" s="16"/>
      <c r="J136" s="16"/>
      <c r="K136" s="16"/>
      <c r="L136" s="16"/>
      <c r="M136" s="16"/>
      <c r="N136" s="17"/>
    </row>
    <row r="137" spans="1:14" s="1" customFormat="1" ht="13.5" thickBot="1">
      <c r="A137" s="53" t="s">
        <v>53</v>
      </c>
      <c r="B137" s="142">
        <f t="shared" ref="B137:G137" si="61">SUM(B135:B136)</f>
        <v>22841076</v>
      </c>
      <c r="C137" s="142">
        <f t="shared" si="61"/>
        <v>22841076</v>
      </c>
      <c r="D137" s="142">
        <f t="shared" si="61"/>
        <v>22841076</v>
      </c>
      <c r="E137" s="142">
        <f t="shared" si="61"/>
        <v>22841076</v>
      </c>
      <c r="F137" s="142">
        <f t="shared" si="61"/>
        <v>22841076</v>
      </c>
      <c r="G137" s="142">
        <f t="shared" si="61"/>
        <v>22841076</v>
      </c>
      <c r="H137" s="143">
        <f>SUM(H135:H136)</f>
        <v>22841076</v>
      </c>
      <c r="I137" s="142">
        <f t="shared" ref="I137:N137" si="62">SUM(I135:I136)</f>
        <v>22841076</v>
      </c>
      <c r="J137" s="142">
        <f t="shared" si="62"/>
        <v>22841076</v>
      </c>
      <c r="K137" s="142">
        <f t="shared" si="62"/>
        <v>22841076</v>
      </c>
      <c r="L137" s="142">
        <f t="shared" si="62"/>
        <v>22841076</v>
      </c>
      <c r="M137" s="142">
        <f t="shared" si="62"/>
        <v>22841076</v>
      </c>
      <c r="N137" s="142">
        <f t="shared" si="62"/>
        <v>274092912</v>
      </c>
    </row>
    <row r="138" spans="1:14" s="1" customFormat="1" ht="13.5" thickBot="1">
      <c r="A138" s="149" t="s">
        <v>54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</row>
    <row r="139" spans="1:14" s="1" customFormat="1" ht="13.5" thickBot="1">
      <c r="A139" s="27" t="s">
        <v>55</v>
      </c>
      <c r="B139" s="29">
        <f t="shared" ref="B139:M139" si="63">+B7*13.8/1000</f>
        <v>3341510.7894000001</v>
      </c>
      <c r="C139" s="29">
        <f t="shared" si="63"/>
        <v>3386401.2510000002</v>
      </c>
      <c r="D139" s="29">
        <f t="shared" si="63"/>
        <v>3863361.4021893996</v>
      </c>
      <c r="E139" s="29">
        <f t="shared" si="63"/>
        <v>3770363.5347509999</v>
      </c>
      <c r="F139" s="29">
        <f t="shared" si="63"/>
        <v>3864062.7181893997</v>
      </c>
      <c r="G139" s="29">
        <f t="shared" si="63"/>
        <v>3770363.5347509999</v>
      </c>
      <c r="H139" s="29">
        <f t="shared" si="63"/>
        <v>3884762.7181893997</v>
      </c>
      <c r="I139" s="29">
        <f t="shared" si="63"/>
        <v>3864062.7181893997</v>
      </c>
      <c r="J139" s="29">
        <f t="shared" si="63"/>
        <v>3582559.3347510006</v>
      </c>
      <c r="K139" s="29">
        <f t="shared" si="63"/>
        <v>3818522.7181893997</v>
      </c>
      <c r="L139" s="29">
        <f t="shared" si="63"/>
        <v>3582559.3347510006</v>
      </c>
      <c r="M139" s="29">
        <f t="shared" si="63"/>
        <v>3818522.7181893997</v>
      </c>
      <c r="N139" s="17">
        <f t="shared" ref="N139" si="64">SUM(B139:M139)</f>
        <v>44547052.772540405</v>
      </c>
    </row>
    <row r="140" spans="1:14" s="1" customFormat="1" ht="13.5" thickBot="1">
      <c r="A140" s="53" t="s">
        <v>56</v>
      </c>
      <c r="B140" s="142">
        <f>+B139</f>
        <v>3341510.7894000001</v>
      </c>
      <c r="C140" s="142">
        <f t="shared" ref="C140:J140" si="65">+C139</f>
        <v>3386401.2510000002</v>
      </c>
      <c r="D140" s="142">
        <f t="shared" si="65"/>
        <v>3863361.4021893996</v>
      </c>
      <c r="E140" s="142">
        <f t="shared" si="65"/>
        <v>3770363.5347509999</v>
      </c>
      <c r="F140" s="142">
        <f>+F139</f>
        <v>3864062.7181893997</v>
      </c>
      <c r="G140" s="142">
        <f t="shared" si="65"/>
        <v>3770363.5347509999</v>
      </c>
      <c r="H140" s="142">
        <f t="shared" si="65"/>
        <v>3884762.7181893997</v>
      </c>
      <c r="I140" s="142">
        <f t="shared" si="65"/>
        <v>3864062.7181893997</v>
      </c>
      <c r="J140" s="142">
        <f t="shared" si="65"/>
        <v>3582559.3347510006</v>
      </c>
      <c r="K140" s="142">
        <f>+K139</f>
        <v>3818522.7181893997</v>
      </c>
      <c r="L140" s="142">
        <f>+L139</f>
        <v>3582559.3347510006</v>
      </c>
      <c r="M140" s="142">
        <f>+M139</f>
        <v>3818522.7181893997</v>
      </c>
      <c r="N140" s="142">
        <f>SUM(K140:M140)</f>
        <v>11219604.7711298</v>
      </c>
    </row>
    <row r="141" spans="1:14" s="1" customFormat="1" ht="13.5" thickBot="1">
      <c r="A141" s="11" t="s">
        <v>258</v>
      </c>
      <c r="B141" s="19">
        <f>+B140+B137+B133+B130+B124</f>
        <v>31829509.7894</v>
      </c>
      <c r="C141" s="19">
        <f t="shared" ref="C141:K141" si="66">+C140+C137+C133+C130+C124</f>
        <v>32077050.251000002</v>
      </c>
      <c r="D141" s="19">
        <f t="shared" ref="D141:J141" si="67">+D140+D137+D133+D130+D124</f>
        <v>32065060.4021894</v>
      </c>
      <c r="E141" s="19">
        <f t="shared" si="67"/>
        <v>30972062.534750998</v>
      </c>
      <c r="F141" s="19">
        <f t="shared" si="67"/>
        <v>31065761.7181894</v>
      </c>
      <c r="G141" s="19">
        <f t="shared" si="67"/>
        <v>31092062.534750998</v>
      </c>
      <c r="H141" s="19">
        <f t="shared" si="67"/>
        <v>31086461.7181894</v>
      </c>
      <c r="I141" s="19">
        <f t="shared" si="67"/>
        <v>31185761.7181894</v>
      </c>
      <c r="J141" s="19">
        <f t="shared" si="67"/>
        <v>30784258.334751002</v>
      </c>
      <c r="K141" s="19">
        <f t="shared" si="66"/>
        <v>31140221.7181894</v>
      </c>
      <c r="L141" s="19">
        <f>+L140+L137+L133+L130+L124</f>
        <v>30884089.334751002</v>
      </c>
      <c r="M141" s="19">
        <f>+M140+M137+M133+M130+M124</f>
        <v>31240052.7181894</v>
      </c>
      <c r="N141" s="19">
        <f>+N140+N137+N133+N130+N124</f>
        <v>341748204.77112979</v>
      </c>
    </row>
    <row r="142" spans="1:14" s="1" customFormat="1" ht="13.5" thickBot="1">
      <c r="A142" s="21"/>
      <c r="B142" s="22">
        <f t="shared" ref="B142:N142" si="68">+B141/B7</f>
        <v>0.13145168840606708</v>
      </c>
      <c r="C142" s="22">
        <f t="shared" si="68"/>
        <v>0.13071790985580403</v>
      </c>
      <c r="D142" s="22">
        <f t="shared" si="68"/>
        <v>0.11453700223319684</v>
      </c>
      <c r="E142" s="22">
        <f t="shared" si="68"/>
        <v>0.11336160533066232</v>
      </c>
      <c r="F142" s="22">
        <f t="shared" si="68"/>
        <v>0.11094734816102959</v>
      </c>
      <c r="G142" s="22">
        <f t="shared" si="68"/>
        <v>0.11380082027233489</v>
      </c>
      <c r="H142" s="22">
        <f t="shared" si="68"/>
        <v>0.11042969746964565</v>
      </c>
      <c r="I142" s="22">
        <f t="shared" si="68"/>
        <v>0.11137591263339301</v>
      </c>
      <c r="J142" s="22">
        <f t="shared" si="68"/>
        <v>0.11858080364469119</v>
      </c>
      <c r="K142" s="22">
        <f t="shared" si="68"/>
        <v>0.11253961058395326</v>
      </c>
      <c r="L142" s="22">
        <f t="shared" si="68"/>
        <v>0.11896535213957209</v>
      </c>
      <c r="M142" s="22">
        <f t="shared" si="68"/>
        <v>0.11290039612895932</v>
      </c>
      <c r="N142" s="22">
        <f t="shared" si="68"/>
        <v>0.10586840054093759</v>
      </c>
    </row>
    <row r="143" spans="1:14" ht="13.5" thickBot="1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</row>
    <row r="144" spans="1:14" s="1" customFormat="1" ht="13.5" thickBot="1">
      <c r="A144" s="155" t="s">
        <v>282</v>
      </c>
      <c r="B144" s="23"/>
      <c r="C144" s="23"/>
      <c r="D144" s="23"/>
      <c r="E144" s="23"/>
      <c r="F144" s="23"/>
      <c r="G144" s="23"/>
      <c r="H144" s="24"/>
      <c r="I144" s="23"/>
      <c r="J144" s="23"/>
      <c r="K144" s="23"/>
      <c r="L144" s="23"/>
      <c r="M144" s="23"/>
      <c r="N144" s="23"/>
    </row>
    <row r="145" spans="1:14" s="1" customFormat="1" ht="13.5" thickBot="1">
      <c r="A145" s="155" t="s">
        <v>43</v>
      </c>
      <c r="B145" s="25"/>
      <c r="C145" s="25"/>
      <c r="D145" s="25"/>
      <c r="E145" s="25"/>
      <c r="F145" s="25"/>
      <c r="G145" s="25"/>
      <c r="H145" s="26"/>
      <c r="I145" s="25"/>
      <c r="J145" s="25"/>
      <c r="K145" s="25"/>
      <c r="L145" s="25"/>
      <c r="M145" s="25"/>
      <c r="N145" s="25"/>
    </row>
    <row r="146" spans="1:14">
      <c r="A146" s="27" t="s">
        <v>15</v>
      </c>
      <c r="B146" s="29">
        <v>6200000</v>
      </c>
      <c r="C146" s="29">
        <v>6200000</v>
      </c>
      <c r="D146" s="29">
        <v>6200000</v>
      </c>
      <c r="E146" s="29">
        <v>6200000</v>
      </c>
      <c r="F146" s="29">
        <v>6200000</v>
      </c>
      <c r="G146" s="29">
        <v>6200000</v>
      </c>
      <c r="H146" s="29">
        <v>6200000</v>
      </c>
      <c r="I146" s="29">
        <v>6200000</v>
      </c>
      <c r="J146" s="29">
        <v>6200000</v>
      </c>
      <c r="K146" s="29">
        <v>6200000</v>
      </c>
      <c r="L146" s="29">
        <v>6200000</v>
      </c>
      <c r="M146" s="29">
        <v>6200000</v>
      </c>
      <c r="N146" s="17">
        <f t="shared" ref="N146:N151" si="69">SUM(B146:M146)</f>
        <v>74400000</v>
      </c>
    </row>
    <row r="147" spans="1:14">
      <c r="A147" s="27" t="s">
        <v>44</v>
      </c>
      <c r="B147" s="29">
        <v>57627</v>
      </c>
      <c r="C147" s="29">
        <f>59000+46607</f>
        <v>105607</v>
      </c>
      <c r="D147" s="29">
        <v>96000</v>
      </c>
      <c r="E147" s="29">
        <v>96000</v>
      </c>
      <c r="F147" s="29">
        <v>96000</v>
      </c>
      <c r="G147" s="29">
        <v>96000</v>
      </c>
      <c r="H147" s="29">
        <v>96000</v>
      </c>
      <c r="I147" s="29">
        <v>96000</v>
      </c>
      <c r="J147" s="29">
        <v>96000</v>
      </c>
      <c r="K147" s="29">
        <v>96000</v>
      </c>
      <c r="L147" s="29">
        <v>96000</v>
      </c>
      <c r="M147" s="29">
        <v>96000</v>
      </c>
      <c r="N147" s="17">
        <f t="shared" si="69"/>
        <v>1123234</v>
      </c>
    </row>
    <row r="148" spans="1:14">
      <c r="A148" s="27" t="s">
        <v>45</v>
      </c>
      <c r="B148" s="29"/>
      <c r="C148" s="29">
        <v>1360375</v>
      </c>
      <c r="D148" s="29"/>
      <c r="E148" s="29"/>
      <c r="F148" s="29"/>
      <c r="G148" s="29"/>
      <c r="H148" s="16"/>
      <c r="I148" s="29"/>
      <c r="J148" s="29"/>
      <c r="K148" s="29"/>
      <c r="L148" s="29"/>
      <c r="M148" s="29"/>
      <c r="N148" s="17">
        <f t="shared" si="69"/>
        <v>1360375</v>
      </c>
    </row>
    <row r="149" spans="1:14">
      <c r="A149" s="27" t="s">
        <v>46</v>
      </c>
      <c r="B149" s="29">
        <v>269500</v>
      </c>
      <c r="C149" s="29">
        <v>245300</v>
      </c>
      <c r="D149" s="29">
        <v>257400</v>
      </c>
      <c r="E149" s="29">
        <v>257400</v>
      </c>
      <c r="F149" s="29">
        <v>257400</v>
      </c>
      <c r="G149" s="29">
        <v>257400</v>
      </c>
      <c r="H149" s="29">
        <v>257400</v>
      </c>
      <c r="I149" s="29">
        <v>257400</v>
      </c>
      <c r="J149" s="29">
        <v>257400</v>
      </c>
      <c r="K149" s="29">
        <v>257400</v>
      </c>
      <c r="L149" s="29">
        <v>257400</v>
      </c>
      <c r="M149" s="29">
        <v>257400</v>
      </c>
      <c r="N149" s="17">
        <f t="shared" si="69"/>
        <v>3088800</v>
      </c>
    </row>
    <row r="150" spans="1:14">
      <c r="A150" s="27" t="s">
        <v>47</v>
      </c>
      <c r="B150" s="29">
        <v>751704</v>
      </c>
      <c r="C150" s="29">
        <v>991755</v>
      </c>
      <c r="D150" s="29">
        <v>895000</v>
      </c>
      <c r="E150" s="29">
        <v>895000</v>
      </c>
      <c r="F150" s="29">
        <v>895000</v>
      </c>
      <c r="G150" s="29">
        <v>895000</v>
      </c>
      <c r="H150" s="29">
        <v>895000</v>
      </c>
      <c r="I150" s="29">
        <v>895000</v>
      </c>
      <c r="J150" s="29">
        <v>895000</v>
      </c>
      <c r="K150" s="29">
        <v>895000</v>
      </c>
      <c r="L150" s="29">
        <v>895000</v>
      </c>
      <c r="M150" s="29">
        <v>895000</v>
      </c>
      <c r="N150" s="17">
        <f t="shared" si="69"/>
        <v>10693459</v>
      </c>
    </row>
    <row r="151" spans="1:14" ht="13.5" thickBot="1">
      <c r="A151" s="27" t="s">
        <v>48</v>
      </c>
      <c r="B151" s="29"/>
      <c r="C151" s="29">
        <v>600</v>
      </c>
      <c r="D151" s="29"/>
      <c r="E151" s="29"/>
      <c r="F151" s="29"/>
      <c r="G151" s="29"/>
      <c r="H151" s="16"/>
      <c r="I151" s="29"/>
      <c r="J151" s="29"/>
      <c r="K151" s="29"/>
      <c r="L151" s="29"/>
      <c r="M151" s="29"/>
      <c r="N151" s="17">
        <f t="shared" si="69"/>
        <v>600</v>
      </c>
    </row>
    <row r="152" spans="1:14" s="1" customFormat="1" ht="13.5" thickBot="1">
      <c r="A152" s="155" t="s">
        <v>49</v>
      </c>
      <c r="B152" s="156">
        <f>SUM(B146:B151)</f>
        <v>7278831</v>
      </c>
      <c r="C152" s="156">
        <f>SUM(C146:C151)</f>
        <v>8903637</v>
      </c>
      <c r="D152" s="156">
        <f>SUM(D146:D151)</f>
        <v>7448400</v>
      </c>
      <c r="E152" s="156">
        <f>SUM(E146:E151)</f>
        <v>7448400</v>
      </c>
      <c r="F152" s="156">
        <f t="shared" ref="F152:M152" si="70">SUM(F146:F151)</f>
        <v>7448400</v>
      </c>
      <c r="G152" s="156">
        <f t="shared" si="70"/>
        <v>7448400</v>
      </c>
      <c r="H152" s="157">
        <f>SUM(H146:H151)</f>
        <v>7448400</v>
      </c>
      <c r="I152" s="156">
        <f t="shared" si="70"/>
        <v>7448400</v>
      </c>
      <c r="J152" s="156">
        <f t="shared" si="70"/>
        <v>7448400</v>
      </c>
      <c r="K152" s="156">
        <f t="shared" si="70"/>
        <v>7448400</v>
      </c>
      <c r="L152" s="156">
        <f t="shared" si="70"/>
        <v>7448400</v>
      </c>
      <c r="M152" s="156">
        <f t="shared" si="70"/>
        <v>7448400</v>
      </c>
      <c r="N152" s="156">
        <f>SUM(N146:N151)</f>
        <v>90666468</v>
      </c>
    </row>
    <row r="153" spans="1:14" s="40" customFormat="1" ht="12" thickBot="1">
      <c r="A153" s="38">
        <v>0.03</v>
      </c>
      <c r="B153" s="39">
        <f t="shared" ref="B153:N153" si="71">+B152/B7</f>
        <v>3.0060614533594359E-2</v>
      </c>
      <c r="C153" s="39">
        <f t="shared" si="71"/>
        <v>3.6283411649377519E-2</v>
      </c>
      <c r="D153" s="39">
        <f t="shared" si="71"/>
        <v>2.6605825678578558E-2</v>
      </c>
      <c r="E153" s="39">
        <f t="shared" si="71"/>
        <v>2.7262071429615675E-2</v>
      </c>
      <c r="F153" s="39">
        <f t="shared" si="71"/>
        <v>2.6600996799597439E-2</v>
      </c>
      <c r="G153" s="39">
        <f t="shared" si="71"/>
        <v>2.7262071429615675E-2</v>
      </c>
      <c r="H153" s="39">
        <f t="shared" si="71"/>
        <v>2.6459253101540042E-2</v>
      </c>
      <c r="I153" s="39">
        <f t="shared" si="71"/>
        <v>2.6600996799597439E-2</v>
      </c>
      <c r="J153" s="39">
        <f t="shared" si="71"/>
        <v>2.8691198217696542E-2</v>
      </c>
      <c r="K153" s="39">
        <f t="shared" si="71"/>
        <v>2.6918242363826547E-2</v>
      </c>
      <c r="L153" s="39">
        <f t="shared" si="71"/>
        <v>2.8691198217696542E-2</v>
      </c>
      <c r="M153" s="39">
        <f t="shared" si="71"/>
        <v>2.6918242363826547E-2</v>
      </c>
      <c r="N153" s="39">
        <f t="shared" si="71"/>
        <v>2.8087093994493401E-2</v>
      </c>
    </row>
    <row r="154" spans="1:14" s="40" customFormat="1" ht="12" thickBot="1">
      <c r="A154" s="38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161"/>
      <c r="N154" s="39"/>
    </row>
    <row r="155" spans="1:14" s="32" customFormat="1" ht="13.5" thickBot="1">
      <c r="A155" s="159" t="s">
        <v>57</v>
      </c>
      <c r="B155" s="159">
        <f>+B116-B152</f>
        <v>44692011.210600019</v>
      </c>
      <c r="C155" s="159">
        <f>+C116-C152</f>
        <v>37337014.538999975</v>
      </c>
      <c r="D155" s="159">
        <f>+D7-D34-D58-D81-D141-D152</f>
        <v>47697701.700275838</v>
      </c>
      <c r="E155" s="159">
        <f t="shared" ref="E155:N155" si="72">+E7-E34-E58-E81-E141-E152</f>
        <v>46378469.026914269</v>
      </c>
      <c r="F155" s="159">
        <f t="shared" si="72"/>
        <v>48727492.384275869</v>
      </c>
      <c r="G155" s="159">
        <f t="shared" si="72"/>
        <v>50025414.026914269</v>
      </c>
      <c r="H155" s="159">
        <f t="shared" si="72"/>
        <v>51526792.384275869</v>
      </c>
      <c r="I155" s="159">
        <f t="shared" si="72"/>
        <v>44795047.384275869</v>
      </c>
      <c r="J155" s="159">
        <f t="shared" si="72"/>
        <v>36769718.226914264</v>
      </c>
      <c r="K155" s="159">
        <f t="shared" si="72"/>
        <v>46627532.384275869</v>
      </c>
      <c r="L155" s="159">
        <f t="shared" si="72"/>
        <v>36669887.226914264</v>
      </c>
      <c r="M155" s="159">
        <f t="shared" si="72"/>
        <v>42760756.384275869</v>
      </c>
      <c r="N155" s="159">
        <f t="shared" si="72"/>
        <v>584930310.88032269</v>
      </c>
    </row>
    <row r="156" spans="1:14" s="40" customFormat="1">
      <c r="A156" s="46"/>
      <c r="B156" s="39">
        <f t="shared" ref="B156:N156" si="73">+B155/B7</f>
        <v>0.18457212727331146</v>
      </c>
      <c r="C156" s="39">
        <f t="shared" si="73"/>
        <v>0.15215290878068474</v>
      </c>
      <c r="D156" s="39">
        <f t="shared" si="73"/>
        <v>0.17037709262477568</v>
      </c>
      <c r="E156" s="39">
        <f t="shared" si="73"/>
        <v>0.16975097140432241</v>
      </c>
      <c r="F156" s="39">
        <f t="shared" si="73"/>
        <v>0.17402393386049769</v>
      </c>
      <c r="G156" s="39">
        <f t="shared" si="73"/>
        <v>0.18309924419980597</v>
      </c>
      <c r="H156" s="39">
        <f t="shared" si="73"/>
        <v>0.18304071226116497</v>
      </c>
      <c r="I156" s="39">
        <f t="shared" si="73"/>
        <v>0.15997971538947128</v>
      </c>
      <c r="J156" s="39">
        <f t="shared" si="73"/>
        <v>0.14163676414495013</v>
      </c>
      <c r="K156" s="39">
        <f t="shared" si="73"/>
        <v>0.16851017903806306</v>
      </c>
      <c r="L156" s="39">
        <f t="shared" si="73"/>
        <v>0.14125221565006923</v>
      </c>
      <c r="M156" s="39">
        <f t="shared" si="73"/>
        <v>0.15453579346067359</v>
      </c>
      <c r="N156" s="39">
        <f t="shared" si="73"/>
        <v>0.1812025215532149</v>
      </c>
    </row>
    <row r="157" spans="1:14">
      <c r="M157" s="18"/>
    </row>
    <row r="159" spans="1:14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14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2:13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6" spans="2:13">
      <c r="M166" s="49">
        <f>+[1]Hoja1!$BW$307-N155</f>
        <v>-77352855.880322695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46" workbookViewId="0">
      <selection activeCell="E64" sqref="E64"/>
    </sheetView>
  </sheetViews>
  <sheetFormatPr baseColWidth="10" defaultRowHeight="15"/>
  <cols>
    <col min="1" max="1" width="46.140625" customWidth="1"/>
    <col min="2" max="2" width="18" customWidth="1"/>
    <col min="3" max="3" width="16.85546875" customWidth="1"/>
    <col min="4" max="4" width="13.140625" bestFit="1" customWidth="1"/>
    <col min="5" max="5" width="14.42578125" customWidth="1"/>
    <col min="6" max="6" width="64.28515625" style="86" bestFit="1" customWidth="1"/>
  </cols>
  <sheetData>
    <row r="1" spans="1:6">
      <c r="A1" t="s">
        <v>171</v>
      </c>
      <c r="D1" s="140" t="s">
        <v>253</v>
      </c>
    </row>
    <row r="3" spans="1:6">
      <c r="A3" t="s">
        <v>172</v>
      </c>
      <c r="F3" s="87">
        <v>3.5000000000000003E-2</v>
      </c>
    </row>
    <row r="4" spans="1:6">
      <c r="A4" t="s">
        <v>173</v>
      </c>
      <c r="F4" s="87">
        <v>3.5000000000000003E-2</v>
      </c>
    </row>
    <row r="5" spans="1:6">
      <c r="A5" t="s">
        <v>174</v>
      </c>
      <c r="F5" s="88">
        <v>1.7500000000000002E-2</v>
      </c>
    </row>
    <row r="6" spans="1:6">
      <c r="F6" s="88"/>
    </row>
    <row r="7" spans="1:6">
      <c r="A7" t="s">
        <v>175</v>
      </c>
      <c r="F7" s="88"/>
    </row>
    <row r="8" spans="1:6">
      <c r="F8" s="88"/>
    </row>
    <row r="9" spans="1:6">
      <c r="A9" s="89" t="s">
        <v>176</v>
      </c>
      <c r="C9" s="205">
        <v>2021</v>
      </c>
      <c r="D9" s="205"/>
      <c r="E9" s="205"/>
      <c r="F9" s="88"/>
    </row>
    <row r="10" spans="1:6" ht="22.5">
      <c r="A10" s="90" t="s">
        <v>177</v>
      </c>
      <c r="B10" s="91" t="s">
        <v>178</v>
      </c>
      <c r="C10" s="92" t="s">
        <v>179</v>
      </c>
      <c r="D10" s="91" t="s">
        <v>180</v>
      </c>
      <c r="E10" s="91" t="s">
        <v>181</v>
      </c>
      <c r="F10" s="93" t="s">
        <v>182</v>
      </c>
    </row>
    <row r="11" spans="1:6" s="98" customFormat="1" ht="30">
      <c r="A11" s="94" t="s">
        <v>183</v>
      </c>
      <c r="B11" s="95">
        <v>3199695</v>
      </c>
      <c r="C11" s="96">
        <v>1.7500000000000002E-2</v>
      </c>
      <c r="D11" s="95">
        <f>+B11*C11</f>
        <v>55994.662500000006</v>
      </c>
      <c r="E11" s="95">
        <f>+B11+D11</f>
        <v>3255689.6625000001</v>
      </c>
      <c r="F11" s="97" t="s">
        <v>184</v>
      </c>
    </row>
    <row r="12" spans="1:6">
      <c r="A12" s="59" t="s">
        <v>185</v>
      </c>
      <c r="B12" s="95">
        <v>2500000</v>
      </c>
      <c r="C12" s="96">
        <v>1.7500000000000002E-2</v>
      </c>
      <c r="D12" s="95">
        <f t="shared" ref="D12:D62" si="0">+B12*C12</f>
        <v>43750.000000000007</v>
      </c>
      <c r="E12" s="95">
        <f t="shared" ref="E12:E62" si="1">+B12+D12</f>
        <v>2543750</v>
      </c>
      <c r="F12" s="97" t="s">
        <v>184</v>
      </c>
    </row>
    <row r="13" spans="1:6">
      <c r="A13" s="137" t="s">
        <v>186</v>
      </c>
      <c r="B13" s="138">
        <v>2400000</v>
      </c>
      <c r="C13" s="139">
        <v>0</v>
      </c>
      <c r="D13" s="138">
        <f t="shared" si="0"/>
        <v>0</v>
      </c>
      <c r="E13" s="138">
        <f t="shared" si="1"/>
        <v>2400000</v>
      </c>
      <c r="F13" s="97" t="s">
        <v>187</v>
      </c>
    </row>
    <row r="14" spans="1:6">
      <c r="A14" s="59" t="s">
        <v>188</v>
      </c>
      <c r="B14" s="95">
        <v>2400000</v>
      </c>
      <c r="C14" s="99">
        <v>0</v>
      </c>
      <c r="D14" s="95">
        <f t="shared" si="0"/>
        <v>0</v>
      </c>
      <c r="E14" s="95">
        <f t="shared" si="1"/>
        <v>2400000</v>
      </c>
      <c r="F14" s="97" t="s">
        <v>187</v>
      </c>
    </row>
    <row r="15" spans="1:6">
      <c r="A15" s="59" t="s">
        <v>189</v>
      </c>
      <c r="B15" s="95">
        <v>900000</v>
      </c>
      <c r="C15" s="99">
        <v>0</v>
      </c>
      <c r="D15" s="95">
        <f t="shared" si="0"/>
        <v>0</v>
      </c>
      <c r="E15" s="95">
        <f t="shared" si="1"/>
        <v>900000</v>
      </c>
      <c r="F15" s="97" t="s">
        <v>190</v>
      </c>
    </row>
    <row r="16" spans="1:6">
      <c r="A16" s="137" t="s">
        <v>191</v>
      </c>
      <c r="B16" s="138">
        <v>900000</v>
      </c>
      <c r="C16" s="139">
        <v>0</v>
      </c>
      <c r="D16" s="138">
        <f t="shared" si="0"/>
        <v>0</v>
      </c>
      <c r="E16" s="138">
        <f t="shared" si="1"/>
        <v>900000</v>
      </c>
      <c r="F16" s="97" t="s">
        <v>190</v>
      </c>
    </row>
    <row r="17" spans="1:6" s="100" customFormat="1">
      <c r="B17" s="146">
        <f>SUM(B11:B16)</f>
        <v>12299695</v>
      </c>
      <c r="C17" s="102"/>
      <c r="D17" s="101"/>
      <c r="E17" s="146">
        <f>SUM(E11:E16)</f>
        <v>12399439.6625</v>
      </c>
      <c r="F17" s="103"/>
    </row>
    <row r="18" spans="1:6" s="100" customFormat="1" ht="22.5">
      <c r="A18" s="104" t="s">
        <v>192</v>
      </c>
      <c r="B18" s="91" t="s">
        <v>178</v>
      </c>
      <c r="C18" s="92" t="s">
        <v>179</v>
      </c>
      <c r="D18" s="91" t="s">
        <v>180</v>
      </c>
      <c r="E18" s="91" t="s">
        <v>181</v>
      </c>
      <c r="F18" s="93" t="s">
        <v>182</v>
      </c>
    </row>
    <row r="19" spans="1:6">
      <c r="A19" s="59" t="s">
        <v>193</v>
      </c>
      <c r="B19" s="95">
        <v>2000000</v>
      </c>
      <c r="C19" s="96">
        <v>1.7500000000000002E-2</v>
      </c>
      <c r="D19" s="95">
        <f>+B19*C19</f>
        <v>35000</v>
      </c>
      <c r="E19" s="95">
        <f>+B19+D19</f>
        <v>2035000</v>
      </c>
      <c r="F19" s="105" t="s">
        <v>194</v>
      </c>
    </row>
    <row r="20" spans="1:6">
      <c r="A20" s="59" t="s">
        <v>195</v>
      </c>
      <c r="B20" s="95">
        <v>900000</v>
      </c>
      <c r="C20" s="99">
        <v>3.5000000000000003E-2</v>
      </c>
      <c r="D20" s="95">
        <f t="shared" si="0"/>
        <v>31500.000000000004</v>
      </c>
      <c r="E20" s="95">
        <f t="shared" si="1"/>
        <v>931500</v>
      </c>
      <c r="F20" s="97" t="s">
        <v>190</v>
      </c>
    </row>
    <row r="21" spans="1:6">
      <c r="A21" s="59" t="s">
        <v>196</v>
      </c>
      <c r="B21" s="95">
        <v>900000</v>
      </c>
      <c r="C21" s="99">
        <v>3.5000000000000003E-2</v>
      </c>
      <c r="D21" s="95">
        <f t="shared" si="0"/>
        <v>31500.000000000004</v>
      </c>
      <c r="E21" s="95">
        <f t="shared" si="1"/>
        <v>931500</v>
      </c>
      <c r="F21" s="97" t="s">
        <v>190</v>
      </c>
    </row>
    <row r="22" spans="1:6">
      <c r="A22" s="59" t="s">
        <v>197</v>
      </c>
      <c r="B22" s="95">
        <v>900000</v>
      </c>
      <c r="C22" s="99">
        <v>3.5000000000000003E-2</v>
      </c>
      <c r="D22" s="95">
        <f t="shared" si="0"/>
        <v>31500.000000000004</v>
      </c>
      <c r="E22" s="95">
        <f t="shared" si="1"/>
        <v>931500</v>
      </c>
      <c r="F22" s="97" t="s">
        <v>190</v>
      </c>
    </row>
    <row r="23" spans="1:6">
      <c r="A23" s="59" t="s">
        <v>198</v>
      </c>
      <c r="B23" s="95">
        <v>900000</v>
      </c>
      <c r="C23" s="99">
        <v>3.5000000000000003E-2</v>
      </c>
      <c r="D23" s="95">
        <f t="shared" si="0"/>
        <v>31500.000000000004</v>
      </c>
      <c r="E23" s="95">
        <f t="shared" si="1"/>
        <v>931500</v>
      </c>
      <c r="F23" s="97" t="s">
        <v>190</v>
      </c>
    </row>
    <row r="24" spans="1:6">
      <c r="A24" s="59" t="s">
        <v>199</v>
      </c>
      <c r="B24" s="95">
        <v>900000</v>
      </c>
      <c r="C24" s="99">
        <v>3.5000000000000003E-2</v>
      </c>
      <c r="D24" s="95">
        <f t="shared" si="0"/>
        <v>31500.000000000004</v>
      </c>
      <c r="E24" s="95">
        <f t="shared" si="1"/>
        <v>931500</v>
      </c>
      <c r="F24" s="97" t="s">
        <v>190</v>
      </c>
    </row>
    <row r="25" spans="1:6" s="100" customFormat="1">
      <c r="B25" s="146">
        <f>SUM(B19:B24)</f>
        <v>6500000</v>
      </c>
      <c r="C25" s="102"/>
      <c r="D25" s="101"/>
      <c r="E25" s="146">
        <f>SUM(E19:E24)</f>
        <v>6692500</v>
      </c>
      <c r="F25" s="106"/>
    </row>
    <row r="26" spans="1:6" ht="22.5">
      <c r="A26" s="90" t="s">
        <v>200</v>
      </c>
      <c r="B26" s="107" t="s">
        <v>178</v>
      </c>
      <c r="C26" s="108" t="s">
        <v>179</v>
      </c>
      <c r="D26" s="107" t="s">
        <v>180</v>
      </c>
      <c r="E26" s="107" t="s">
        <v>181</v>
      </c>
      <c r="F26" s="109" t="s">
        <v>182</v>
      </c>
    </row>
    <row r="27" spans="1:6">
      <c r="A27" s="59" t="s">
        <v>201</v>
      </c>
      <c r="B27" s="95">
        <v>877803</v>
      </c>
      <c r="C27" s="99">
        <v>3.5000000000000003E-2</v>
      </c>
      <c r="D27" s="95">
        <f t="shared" si="0"/>
        <v>30723.105000000003</v>
      </c>
      <c r="E27" s="95">
        <f t="shared" si="1"/>
        <v>908526.10499999998</v>
      </c>
      <c r="F27" s="97" t="s">
        <v>190</v>
      </c>
    </row>
    <row r="28" spans="1:6">
      <c r="A28" s="59" t="s">
        <v>202</v>
      </c>
      <c r="B28" s="95">
        <v>877803</v>
      </c>
      <c r="C28" s="99">
        <v>3.5000000000000003E-2</v>
      </c>
      <c r="D28" s="95">
        <f t="shared" si="0"/>
        <v>30723.105000000003</v>
      </c>
      <c r="E28" s="95">
        <f t="shared" si="1"/>
        <v>908526.10499999998</v>
      </c>
      <c r="F28" s="97" t="s">
        <v>190</v>
      </c>
    </row>
    <row r="29" spans="1:6">
      <c r="A29" s="59" t="s">
        <v>203</v>
      </c>
      <c r="B29" s="95">
        <v>877803</v>
      </c>
      <c r="C29" s="99">
        <v>3.5000000000000003E-2</v>
      </c>
      <c r="D29" s="95">
        <f t="shared" si="0"/>
        <v>30723.105000000003</v>
      </c>
      <c r="E29" s="95">
        <f t="shared" si="1"/>
        <v>908526.10499999998</v>
      </c>
      <c r="F29" s="97" t="s">
        <v>190</v>
      </c>
    </row>
    <row r="30" spans="1:6">
      <c r="A30" s="59" t="s">
        <v>204</v>
      </c>
      <c r="B30" s="95">
        <v>877803</v>
      </c>
      <c r="C30" s="99">
        <v>3.5000000000000003E-2</v>
      </c>
      <c r="D30" s="95">
        <f t="shared" si="0"/>
        <v>30723.105000000003</v>
      </c>
      <c r="E30" s="95">
        <f t="shared" si="1"/>
        <v>908526.10499999998</v>
      </c>
      <c r="F30" s="97" t="s">
        <v>190</v>
      </c>
    </row>
    <row r="31" spans="1:6">
      <c r="A31" s="110" t="s">
        <v>205</v>
      </c>
      <c r="B31" s="111">
        <v>877803</v>
      </c>
      <c r="C31" s="112">
        <v>3.5000000000000003E-2</v>
      </c>
      <c r="D31" s="111">
        <f t="shared" si="0"/>
        <v>30723.105000000003</v>
      </c>
      <c r="E31" s="111">
        <f t="shared" si="1"/>
        <v>908526.10499999998</v>
      </c>
      <c r="F31" s="113" t="s">
        <v>206</v>
      </c>
    </row>
    <row r="32" spans="1:6">
      <c r="B32" s="114"/>
      <c r="C32" s="115"/>
      <c r="D32" s="114"/>
      <c r="E32" s="147">
        <f>SUM(E27:E31)</f>
        <v>4542630.5250000004</v>
      </c>
      <c r="F32" s="116"/>
    </row>
    <row r="33" spans="1:6" ht="22.5">
      <c r="A33" s="90" t="s">
        <v>207</v>
      </c>
      <c r="B33" s="107" t="s">
        <v>178</v>
      </c>
      <c r="C33" s="108" t="s">
        <v>179</v>
      </c>
      <c r="D33" s="107" t="s">
        <v>180</v>
      </c>
      <c r="E33" s="107" t="s">
        <v>181</v>
      </c>
      <c r="F33" s="109" t="s">
        <v>182</v>
      </c>
    </row>
    <row r="34" spans="1:6">
      <c r="A34" s="59" t="s">
        <v>208</v>
      </c>
      <c r="B34" s="95">
        <v>877803</v>
      </c>
      <c r="C34" s="99">
        <v>3.5000000000000003E-2</v>
      </c>
      <c r="D34" s="95">
        <f t="shared" ref="D34:D43" si="2">+B34*C34</f>
        <v>30723.105000000003</v>
      </c>
      <c r="E34" s="95">
        <f t="shared" ref="E34:E43" si="3">+B34+D34</f>
        <v>908526.10499999998</v>
      </c>
      <c r="F34" s="97" t="s">
        <v>209</v>
      </c>
    </row>
    <row r="35" spans="1:6">
      <c r="A35" s="59" t="s">
        <v>210</v>
      </c>
      <c r="B35" s="95">
        <v>877803</v>
      </c>
      <c r="C35" s="99">
        <v>3.5000000000000003E-2</v>
      </c>
      <c r="D35" s="95">
        <f t="shared" si="2"/>
        <v>30723.105000000003</v>
      </c>
      <c r="E35" s="95">
        <f t="shared" si="3"/>
        <v>908526.10499999998</v>
      </c>
      <c r="F35" s="97" t="s">
        <v>190</v>
      </c>
    </row>
    <row r="36" spans="1:6">
      <c r="A36" s="59" t="s">
        <v>211</v>
      </c>
      <c r="B36" s="95">
        <v>877803</v>
      </c>
      <c r="C36" s="99">
        <v>3.5000000000000003E-2</v>
      </c>
      <c r="D36" s="95">
        <f t="shared" si="2"/>
        <v>30723.105000000003</v>
      </c>
      <c r="E36" s="95">
        <f t="shared" si="3"/>
        <v>908526.10499999998</v>
      </c>
      <c r="F36" s="97" t="s">
        <v>190</v>
      </c>
    </row>
    <row r="37" spans="1:6">
      <c r="A37" s="59" t="s">
        <v>212</v>
      </c>
      <c r="B37" s="95">
        <v>877803</v>
      </c>
      <c r="C37" s="99">
        <v>3.5000000000000003E-2</v>
      </c>
      <c r="D37" s="95">
        <f t="shared" si="2"/>
        <v>30723.105000000003</v>
      </c>
      <c r="E37" s="95">
        <f t="shared" si="3"/>
        <v>908526.10499999998</v>
      </c>
      <c r="F37" s="97" t="s">
        <v>190</v>
      </c>
    </row>
    <row r="38" spans="1:6">
      <c r="A38" s="110" t="s">
        <v>213</v>
      </c>
      <c r="B38" s="111">
        <v>877803</v>
      </c>
      <c r="C38" s="112">
        <v>3.5000000000000003E-2</v>
      </c>
      <c r="D38" s="111">
        <f t="shared" si="2"/>
        <v>30723.105000000003</v>
      </c>
      <c r="E38" s="111">
        <f t="shared" si="3"/>
        <v>908526.10499999998</v>
      </c>
      <c r="F38" s="113" t="s">
        <v>214</v>
      </c>
    </row>
    <row r="39" spans="1:6">
      <c r="A39" s="117"/>
      <c r="B39" s="118"/>
      <c r="C39" s="119"/>
      <c r="D39" s="118"/>
      <c r="E39" s="148">
        <f>SUM(E34:E38)</f>
        <v>4542630.5250000004</v>
      </c>
      <c r="F39" s="120"/>
    </row>
    <row r="40" spans="1:6">
      <c r="A40" s="59" t="s">
        <v>215</v>
      </c>
      <c r="B40" s="95">
        <v>877803</v>
      </c>
      <c r="C40" s="99">
        <v>3.5000000000000003E-2</v>
      </c>
      <c r="D40" s="95">
        <f t="shared" si="2"/>
        <v>30723.105000000003</v>
      </c>
      <c r="E40" s="95">
        <f t="shared" si="3"/>
        <v>908526.10499999998</v>
      </c>
      <c r="F40" s="97" t="s">
        <v>190</v>
      </c>
    </row>
    <row r="41" spans="1:6">
      <c r="A41" s="59" t="s">
        <v>215</v>
      </c>
      <c r="B41" s="95">
        <v>877803</v>
      </c>
      <c r="C41" s="99">
        <v>3.5000000000000003E-2</v>
      </c>
      <c r="D41" s="95">
        <f t="shared" si="2"/>
        <v>30723.105000000003</v>
      </c>
      <c r="E41" s="95">
        <f t="shared" si="3"/>
        <v>908526.10499999998</v>
      </c>
      <c r="F41" s="97" t="s">
        <v>190</v>
      </c>
    </row>
    <row r="42" spans="1:6">
      <c r="A42" s="59" t="s">
        <v>215</v>
      </c>
      <c r="B42" s="95">
        <v>877803</v>
      </c>
      <c r="C42" s="99">
        <v>3.5000000000000003E-2</v>
      </c>
      <c r="D42" s="95">
        <f t="shared" si="2"/>
        <v>30723.105000000003</v>
      </c>
      <c r="E42" s="95">
        <f t="shared" si="3"/>
        <v>908526.10499999998</v>
      </c>
      <c r="F42" s="97" t="s">
        <v>190</v>
      </c>
    </row>
    <row r="43" spans="1:6">
      <c r="A43" s="110" t="s">
        <v>215</v>
      </c>
      <c r="B43" s="111">
        <v>877803</v>
      </c>
      <c r="C43" s="112">
        <v>3.5000000000000003E-2</v>
      </c>
      <c r="D43" s="111">
        <f t="shared" si="2"/>
        <v>30723.105000000003</v>
      </c>
      <c r="E43" s="111">
        <f t="shared" si="3"/>
        <v>908526.10499999998</v>
      </c>
      <c r="F43" s="113" t="s">
        <v>214</v>
      </c>
    </row>
    <row r="44" spans="1:6">
      <c r="A44" s="110" t="s">
        <v>216</v>
      </c>
      <c r="B44" s="111">
        <v>877803</v>
      </c>
      <c r="C44" s="112">
        <v>3.5000000000000003E-2</v>
      </c>
      <c r="D44" s="111">
        <f t="shared" si="0"/>
        <v>30723.105000000003</v>
      </c>
      <c r="E44" s="111">
        <f t="shared" si="1"/>
        <v>908526.10499999998</v>
      </c>
      <c r="F44" s="121" t="s">
        <v>217</v>
      </c>
    </row>
    <row r="45" spans="1:6">
      <c r="A45" s="59" t="s">
        <v>218</v>
      </c>
      <c r="B45" s="95">
        <v>900000</v>
      </c>
      <c r="C45" s="99">
        <v>3.5000000000000003E-2</v>
      </c>
      <c r="D45" s="95">
        <f t="shared" si="0"/>
        <v>31500.000000000004</v>
      </c>
      <c r="E45" s="95">
        <f t="shared" si="1"/>
        <v>931500</v>
      </c>
      <c r="F45" s="97" t="s">
        <v>219</v>
      </c>
    </row>
    <row r="46" spans="1:6">
      <c r="A46" s="110" t="s">
        <v>220</v>
      </c>
      <c r="B46" s="111">
        <v>900000</v>
      </c>
      <c r="C46" s="112">
        <v>3.5000000000000003E-2</v>
      </c>
      <c r="D46" s="111">
        <f t="shared" si="0"/>
        <v>31500.000000000004</v>
      </c>
      <c r="E46" s="111">
        <f t="shared" si="1"/>
        <v>931500</v>
      </c>
      <c r="F46" s="113" t="s">
        <v>214</v>
      </c>
    </row>
    <row r="47" spans="1:6">
      <c r="B47" s="114"/>
      <c r="C47" s="115"/>
      <c r="D47" s="114"/>
      <c r="E47" s="147">
        <f>SUM(E40:E46)</f>
        <v>6405630.5250000004</v>
      </c>
      <c r="F47" s="106"/>
    </row>
    <row r="48" spans="1:6" ht="22.5">
      <c r="A48" s="90" t="s">
        <v>221</v>
      </c>
      <c r="B48" s="107" t="s">
        <v>178</v>
      </c>
      <c r="C48" s="108" t="s">
        <v>179</v>
      </c>
      <c r="D48" s="107" t="s">
        <v>180</v>
      </c>
      <c r="E48" s="107" t="s">
        <v>181</v>
      </c>
      <c r="F48" s="93" t="s">
        <v>182</v>
      </c>
    </row>
    <row r="49" spans="1:6">
      <c r="A49" s="59" t="s">
        <v>222</v>
      </c>
      <c r="B49" s="95">
        <v>1300000</v>
      </c>
      <c r="C49" s="96">
        <v>1.7500000000000002E-2</v>
      </c>
      <c r="D49" s="95">
        <f t="shared" ref="D49:D58" si="4">+B49*C49</f>
        <v>22750.000000000004</v>
      </c>
      <c r="E49" s="95">
        <f t="shared" ref="E49:E58" si="5">+B49+D49</f>
        <v>1322750</v>
      </c>
      <c r="F49" s="122"/>
    </row>
    <row r="50" spans="1:6">
      <c r="A50" s="59" t="s">
        <v>223</v>
      </c>
      <c r="B50" s="95">
        <v>900000</v>
      </c>
      <c r="C50" s="99">
        <v>3.5000000000000003E-2</v>
      </c>
      <c r="D50" s="95">
        <f t="shared" si="4"/>
        <v>31500.000000000004</v>
      </c>
      <c r="E50" s="95">
        <f t="shared" si="5"/>
        <v>931500</v>
      </c>
      <c r="F50" s="123"/>
    </row>
    <row r="51" spans="1:6">
      <c r="A51" s="110" t="s">
        <v>224</v>
      </c>
      <c r="B51" s="111">
        <v>900000</v>
      </c>
      <c r="C51" s="112">
        <v>3.5000000000000003E-2</v>
      </c>
      <c r="D51" s="111">
        <f t="shared" si="4"/>
        <v>31500.000000000004</v>
      </c>
      <c r="E51" s="111">
        <f t="shared" si="5"/>
        <v>931500</v>
      </c>
      <c r="F51" s="124" t="s">
        <v>225</v>
      </c>
    </row>
    <row r="52" spans="1:6">
      <c r="A52" s="110" t="s">
        <v>226</v>
      </c>
      <c r="B52" s="111">
        <v>900000</v>
      </c>
      <c r="C52" s="112">
        <v>3.5000000000000003E-2</v>
      </c>
      <c r="D52" s="111">
        <f t="shared" si="4"/>
        <v>31500.000000000004</v>
      </c>
      <c r="E52" s="111">
        <f t="shared" si="5"/>
        <v>931500</v>
      </c>
      <c r="F52" s="124" t="s">
        <v>217</v>
      </c>
    </row>
    <row r="53" spans="1:6">
      <c r="A53" s="110" t="s">
        <v>227</v>
      </c>
      <c r="B53" s="111">
        <v>900000</v>
      </c>
      <c r="C53" s="112">
        <v>3.5000000000000003E-2</v>
      </c>
      <c r="D53" s="111">
        <f t="shared" si="4"/>
        <v>31500.000000000004</v>
      </c>
      <c r="E53" s="111">
        <f t="shared" si="5"/>
        <v>931500</v>
      </c>
      <c r="F53" s="124" t="s">
        <v>217</v>
      </c>
    </row>
    <row r="54" spans="1:6" ht="48.75">
      <c r="A54" s="59" t="s">
        <v>216</v>
      </c>
      <c r="B54" s="95">
        <v>877803</v>
      </c>
      <c r="C54" s="99">
        <v>3.5000000000000003E-2</v>
      </c>
      <c r="D54" s="95">
        <f t="shared" si="4"/>
        <v>30723.105000000003</v>
      </c>
      <c r="E54" s="95">
        <f t="shared" si="5"/>
        <v>908526.10499999998</v>
      </c>
      <c r="F54" s="125" t="s">
        <v>228</v>
      </c>
    </row>
    <row r="55" spans="1:6">
      <c r="A55" s="59" t="s">
        <v>229</v>
      </c>
      <c r="B55" s="95">
        <v>877803</v>
      </c>
      <c r="C55" s="99">
        <v>3.5000000000000003E-2</v>
      </c>
      <c r="D55" s="95">
        <f t="shared" si="4"/>
        <v>30723.105000000003</v>
      </c>
      <c r="E55" s="95">
        <f t="shared" si="5"/>
        <v>908526.10499999998</v>
      </c>
      <c r="F55" s="122" t="s">
        <v>190</v>
      </c>
    </row>
    <row r="56" spans="1:6">
      <c r="A56" s="110" t="s">
        <v>230</v>
      </c>
      <c r="B56" s="111">
        <v>877803</v>
      </c>
      <c r="C56" s="112">
        <v>3.5000000000000003E-2</v>
      </c>
      <c r="D56" s="111">
        <f t="shared" si="4"/>
        <v>30723.105000000003</v>
      </c>
      <c r="E56" s="111">
        <f t="shared" si="5"/>
        <v>908526.10499999998</v>
      </c>
      <c r="F56" s="126" t="s">
        <v>214</v>
      </c>
    </row>
    <row r="57" spans="1:6">
      <c r="A57" s="59" t="s">
        <v>231</v>
      </c>
      <c r="B57" s="95">
        <v>877803</v>
      </c>
      <c r="C57" s="99">
        <v>3.5000000000000003E-2</v>
      </c>
      <c r="D57" s="95">
        <f t="shared" si="4"/>
        <v>30723.105000000003</v>
      </c>
      <c r="E57" s="95">
        <f t="shared" si="5"/>
        <v>908526.10499999998</v>
      </c>
      <c r="F57" s="122" t="s">
        <v>190</v>
      </c>
    </row>
    <row r="58" spans="1:6">
      <c r="A58" s="110" t="s">
        <v>232</v>
      </c>
      <c r="B58" s="111">
        <v>877803</v>
      </c>
      <c r="C58" s="112">
        <v>3.5000000000000003E-2</v>
      </c>
      <c r="D58" s="111">
        <f t="shared" si="4"/>
        <v>30723.105000000003</v>
      </c>
      <c r="E58" s="111">
        <f t="shared" si="5"/>
        <v>908526.10499999998</v>
      </c>
      <c r="F58" s="127" t="s">
        <v>214</v>
      </c>
    </row>
    <row r="59" spans="1:6">
      <c r="B59" s="114"/>
      <c r="C59" s="115"/>
      <c r="D59" s="114"/>
      <c r="E59" s="147">
        <f>SUM(E49:E58)</f>
        <v>9591380.5250000022</v>
      </c>
      <c r="F59" s="128"/>
    </row>
    <row r="60" spans="1:6" ht="22.5">
      <c r="A60" s="90" t="s">
        <v>233</v>
      </c>
      <c r="B60" s="107" t="s">
        <v>178</v>
      </c>
      <c r="C60" s="108" t="s">
        <v>179</v>
      </c>
      <c r="D60" s="107" t="s">
        <v>180</v>
      </c>
      <c r="E60" s="107" t="s">
        <v>181</v>
      </c>
      <c r="F60" s="93" t="s">
        <v>182</v>
      </c>
    </row>
    <row r="61" spans="1:6">
      <c r="A61" s="137" t="s">
        <v>234</v>
      </c>
      <c r="B61" s="138">
        <v>5536539</v>
      </c>
      <c r="C61" s="141">
        <v>1.7500000000000002E-2</v>
      </c>
      <c r="D61" s="138">
        <f t="shared" ref="D61" si="6">+B61*C61</f>
        <v>96889.43250000001</v>
      </c>
      <c r="E61" s="138">
        <f t="shared" ref="E61" si="7">+B61+D61</f>
        <v>5633428.4325000001</v>
      </c>
      <c r="F61" s="97"/>
    </row>
    <row r="62" spans="1:6">
      <c r="A62" s="137" t="s">
        <v>235</v>
      </c>
      <c r="B62" s="138">
        <v>1200000</v>
      </c>
      <c r="C62" s="139">
        <v>0</v>
      </c>
      <c r="D62" s="138">
        <f t="shared" si="0"/>
        <v>0</v>
      </c>
      <c r="E62" s="138">
        <f t="shared" si="1"/>
        <v>1200000</v>
      </c>
      <c r="F62" s="97" t="s">
        <v>187</v>
      </c>
    </row>
    <row r="63" spans="1:6">
      <c r="A63" s="137" t="s">
        <v>236</v>
      </c>
      <c r="B63" s="138">
        <v>908526</v>
      </c>
      <c r="C63" s="139">
        <v>0</v>
      </c>
      <c r="D63" s="138">
        <f>+E63-B63</f>
        <v>91474</v>
      </c>
      <c r="E63" s="138">
        <v>1000000</v>
      </c>
      <c r="F63" s="129" t="s">
        <v>237</v>
      </c>
    </row>
    <row r="64" spans="1:6">
      <c r="B64" s="130"/>
      <c r="C64" s="130"/>
      <c r="D64" s="130" t="s">
        <v>254</v>
      </c>
      <c r="E64" s="135">
        <f>SUM(E61:E63)</f>
        <v>7833428.4325000001</v>
      </c>
      <c r="F64" s="131"/>
    </row>
    <row r="65" spans="1:6">
      <c r="A65" t="s">
        <v>238</v>
      </c>
      <c r="B65" s="132">
        <v>5000000</v>
      </c>
      <c r="C65" s="130"/>
      <c r="D65" s="130" t="s">
        <v>255</v>
      </c>
      <c r="E65" s="135">
        <f>+E59+E47+E39+E32+E25+E17</f>
        <v>44174211.762500003</v>
      </c>
      <c r="F65" s="131"/>
    </row>
    <row r="66" spans="1:6">
      <c r="A66" t="s">
        <v>252</v>
      </c>
      <c r="B66" s="136">
        <v>106454</v>
      </c>
      <c r="C66" s="130"/>
      <c r="D66" s="130"/>
      <c r="E66" s="130"/>
      <c r="F66" s="131"/>
    </row>
    <row r="67" spans="1:6">
      <c r="B67" s="130"/>
      <c r="C67" s="130"/>
      <c r="D67" s="130"/>
      <c r="E67" s="130"/>
      <c r="F67" s="131"/>
    </row>
    <row r="69" spans="1:6">
      <c r="A69" t="s">
        <v>272</v>
      </c>
      <c r="B69">
        <v>7</v>
      </c>
      <c r="C69">
        <v>21000</v>
      </c>
      <c r="D69">
        <f>+B69*C69</f>
        <v>147000</v>
      </c>
    </row>
    <row r="70" spans="1:6">
      <c r="A70" t="s">
        <v>273</v>
      </c>
      <c r="B70">
        <v>4</v>
      </c>
      <c r="C70">
        <v>45000</v>
      </c>
      <c r="D70">
        <f t="shared" ref="D70:D71" si="8">+B70*C70</f>
        <v>180000</v>
      </c>
    </row>
    <row r="71" spans="1:6">
      <c r="A71" t="s">
        <v>274</v>
      </c>
      <c r="B71">
        <v>3</v>
      </c>
      <c r="C71">
        <v>45000</v>
      </c>
      <c r="D71">
        <f t="shared" si="8"/>
        <v>135000</v>
      </c>
    </row>
    <row r="72" spans="1:6">
      <c r="D72" s="55">
        <f>SUM(D69:D71)</f>
        <v>462000</v>
      </c>
    </row>
  </sheetData>
  <mergeCells count="1">
    <mergeCell ref="C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workbookViewId="0"/>
  </sheetViews>
  <sheetFormatPr baseColWidth="10" defaultRowHeight="15"/>
  <cols>
    <col min="1" max="1" width="20" bestFit="1" customWidth="1"/>
    <col min="2" max="2" width="13" bestFit="1" customWidth="1"/>
    <col min="3" max="3" width="14.140625" bestFit="1" customWidth="1"/>
    <col min="4" max="4" width="24.7109375" customWidth="1"/>
    <col min="5" max="5" width="13.7109375" customWidth="1"/>
    <col min="6" max="6" width="14.140625" bestFit="1" customWidth="1"/>
    <col min="7" max="7" width="13" bestFit="1" customWidth="1"/>
    <col min="8" max="8" width="14" bestFit="1" customWidth="1"/>
    <col min="9" max="9" width="13.28515625" customWidth="1"/>
    <col min="10" max="10" width="14" bestFit="1" customWidth="1"/>
    <col min="11" max="11" width="12.7109375" customWidth="1"/>
    <col min="12" max="12" width="14" bestFit="1" customWidth="1"/>
    <col min="13" max="13" width="14.7109375" customWidth="1"/>
    <col min="14" max="14" width="14" bestFit="1" customWidth="1"/>
    <col min="15" max="15" width="11.7109375" customWidth="1"/>
    <col min="16" max="16" width="14" bestFit="1" customWidth="1"/>
    <col min="17" max="17" width="13.140625" customWidth="1"/>
    <col min="18" max="18" width="14" bestFit="1" customWidth="1"/>
    <col min="20" max="20" width="14" bestFit="1" customWidth="1"/>
    <col min="21" max="21" width="13.140625" customWidth="1"/>
    <col min="22" max="22" width="14" bestFit="1" customWidth="1"/>
    <col min="23" max="23" width="12.7109375" customWidth="1"/>
    <col min="24" max="24" width="14" bestFit="1" customWidth="1"/>
  </cols>
  <sheetData>
    <row r="1" spans="1:10">
      <c r="A1" s="55" t="s">
        <v>102</v>
      </c>
    </row>
    <row r="3" spans="1:10">
      <c r="A3" s="55" t="s">
        <v>103</v>
      </c>
    </row>
    <row r="4" spans="1:10">
      <c r="A4" s="56" t="s">
        <v>104</v>
      </c>
      <c r="B4" s="56" t="s">
        <v>105</v>
      </c>
      <c r="C4" s="56" t="s">
        <v>106</v>
      </c>
      <c r="D4" s="56" t="s">
        <v>107</v>
      </c>
      <c r="E4" s="56" t="s">
        <v>108</v>
      </c>
      <c r="F4" s="56" t="s">
        <v>109</v>
      </c>
      <c r="G4" s="57" t="s">
        <v>110</v>
      </c>
      <c r="H4" s="57" t="s">
        <v>111</v>
      </c>
      <c r="I4" s="57" t="s">
        <v>112</v>
      </c>
      <c r="J4" s="57" t="s">
        <v>113</v>
      </c>
    </row>
    <row r="5" spans="1:10">
      <c r="A5" s="58" t="s">
        <v>114</v>
      </c>
      <c r="B5" s="59">
        <v>1854</v>
      </c>
      <c r="C5" s="59">
        <v>1</v>
      </c>
      <c r="D5" s="60">
        <v>8087</v>
      </c>
      <c r="E5" s="60">
        <v>12197</v>
      </c>
      <c r="F5" s="60">
        <v>12197</v>
      </c>
      <c r="G5" s="60">
        <v>5122</v>
      </c>
      <c r="H5" s="60">
        <v>5122</v>
      </c>
      <c r="I5" s="60">
        <v>6220</v>
      </c>
      <c r="J5" s="60">
        <v>7486</v>
      </c>
    </row>
    <row r="6" spans="1:10">
      <c r="A6" s="58" t="s">
        <v>115</v>
      </c>
      <c r="B6" s="59">
        <v>1854</v>
      </c>
      <c r="C6" s="59">
        <v>1</v>
      </c>
      <c r="D6" s="60">
        <v>8087</v>
      </c>
      <c r="E6" s="60">
        <v>12197</v>
      </c>
      <c r="F6" s="60">
        <v>12197</v>
      </c>
      <c r="G6" s="60">
        <v>5122</v>
      </c>
      <c r="H6" s="60">
        <v>5122</v>
      </c>
      <c r="I6" s="60">
        <v>6220</v>
      </c>
      <c r="J6" s="60">
        <v>7486</v>
      </c>
    </row>
    <row r="7" spans="1:10">
      <c r="A7" s="58" t="s">
        <v>116</v>
      </c>
      <c r="B7" s="59">
        <v>1854</v>
      </c>
      <c r="C7" s="59">
        <v>1</v>
      </c>
      <c r="D7" s="60">
        <v>8087</v>
      </c>
      <c r="E7" s="60">
        <v>12197</v>
      </c>
      <c r="F7" s="60">
        <v>12197</v>
      </c>
      <c r="G7" s="60">
        <v>5122</v>
      </c>
      <c r="H7" s="60">
        <v>5122</v>
      </c>
      <c r="I7" s="60">
        <v>6220</v>
      </c>
      <c r="J7" s="60">
        <v>7486</v>
      </c>
    </row>
    <row r="8" spans="1:10">
      <c r="A8" s="58" t="s">
        <v>117</v>
      </c>
      <c r="B8" s="59">
        <v>1854</v>
      </c>
      <c r="C8" s="59">
        <v>1</v>
      </c>
      <c r="D8" s="60">
        <v>8087</v>
      </c>
      <c r="E8" s="60">
        <v>12197</v>
      </c>
      <c r="F8" s="60">
        <v>12197</v>
      </c>
      <c r="G8" s="60">
        <v>5122</v>
      </c>
      <c r="H8" s="60">
        <v>5122</v>
      </c>
      <c r="I8" s="60">
        <v>6220</v>
      </c>
      <c r="J8" s="60">
        <v>7486</v>
      </c>
    </row>
    <row r="9" spans="1:10">
      <c r="A9" s="58" t="s">
        <v>118</v>
      </c>
      <c r="B9" s="59">
        <v>1854</v>
      </c>
      <c r="C9" s="59">
        <v>1</v>
      </c>
      <c r="D9" s="60">
        <v>8087</v>
      </c>
      <c r="E9" s="60">
        <v>12197</v>
      </c>
      <c r="F9" s="60">
        <v>12197</v>
      </c>
      <c r="G9" s="60">
        <v>5122</v>
      </c>
      <c r="H9" s="60">
        <v>5122</v>
      </c>
      <c r="I9" s="60">
        <v>6220</v>
      </c>
      <c r="J9" s="60">
        <v>7486</v>
      </c>
    </row>
    <row r="10" spans="1:10">
      <c r="A10" s="58" t="s">
        <v>119</v>
      </c>
      <c r="B10" s="59">
        <v>1785</v>
      </c>
      <c r="C10" s="59">
        <v>1</v>
      </c>
      <c r="D10" s="60">
        <v>8087</v>
      </c>
      <c r="E10" s="60">
        <v>12197</v>
      </c>
      <c r="F10" s="60">
        <v>12197</v>
      </c>
      <c r="G10" s="60">
        <v>5122</v>
      </c>
      <c r="H10" s="60">
        <v>5122</v>
      </c>
      <c r="I10" s="60">
        <v>6220</v>
      </c>
      <c r="J10" s="60">
        <v>7486</v>
      </c>
    </row>
    <row r="11" spans="1:10">
      <c r="A11" s="61" t="s">
        <v>120</v>
      </c>
      <c r="B11" s="62">
        <v>1854</v>
      </c>
      <c r="C11" s="62">
        <v>1.35</v>
      </c>
      <c r="D11" s="60">
        <f>D5*C11</f>
        <v>10917.45</v>
      </c>
      <c r="E11" s="60">
        <f>E5*C11</f>
        <v>16465.95</v>
      </c>
      <c r="F11" s="60">
        <f>F5*C11</f>
        <v>16465.95</v>
      </c>
      <c r="G11" s="60">
        <f>G5*C11</f>
        <v>6914.7000000000007</v>
      </c>
      <c r="H11" s="60">
        <f>H5*C11</f>
        <v>6914.7000000000007</v>
      </c>
      <c r="I11" s="60">
        <f>I5*C11</f>
        <v>8397</v>
      </c>
      <c r="J11" s="60">
        <f>J5*C11</f>
        <v>10106.1</v>
      </c>
    </row>
    <row r="12" spans="1:10">
      <c r="A12" s="58" t="s">
        <v>121</v>
      </c>
      <c r="B12" s="59">
        <v>1500</v>
      </c>
      <c r="C12" s="59">
        <v>1</v>
      </c>
      <c r="D12" s="60">
        <v>8087</v>
      </c>
      <c r="E12" s="60">
        <v>12197</v>
      </c>
      <c r="F12" s="60">
        <v>12197</v>
      </c>
      <c r="G12" s="60">
        <v>5122</v>
      </c>
      <c r="H12" s="60">
        <v>5122</v>
      </c>
      <c r="I12" s="60">
        <v>6220</v>
      </c>
      <c r="J12" s="60">
        <v>7486</v>
      </c>
    </row>
    <row r="13" spans="1:10">
      <c r="A13" s="58" t="s">
        <v>122</v>
      </c>
      <c r="B13" s="59">
        <v>1854</v>
      </c>
      <c r="C13" s="59">
        <v>1</v>
      </c>
      <c r="D13" s="60">
        <v>8087</v>
      </c>
      <c r="E13" s="60">
        <v>12197</v>
      </c>
      <c r="F13" s="60">
        <v>12197</v>
      </c>
      <c r="G13" s="60">
        <v>5122</v>
      </c>
      <c r="H13" s="60">
        <v>5122</v>
      </c>
      <c r="I13" s="60">
        <v>6220</v>
      </c>
      <c r="J13" s="60">
        <v>7486</v>
      </c>
    </row>
    <row r="14" spans="1:10">
      <c r="A14" s="58" t="s">
        <v>123</v>
      </c>
      <c r="B14" s="59">
        <v>1854</v>
      </c>
      <c r="C14" s="59">
        <v>1</v>
      </c>
      <c r="D14" s="60">
        <v>8087</v>
      </c>
      <c r="E14" s="60">
        <v>12197</v>
      </c>
      <c r="F14" s="60">
        <v>12197</v>
      </c>
      <c r="G14" s="60">
        <v>5122</v>
      </c>
      <c r="H14" s="60">
        <v>5122</v>
      </c>
      <c r="I14" s="60">
        <v>6220</v>
      </c>
      <c r="J14" s="60">
        <v>7486</v>
      </c>
    </row>
    <row r="15" spans="1:10">
      <c r="A15" s="58" t="s">
        <v>124</v>
      </c>
      <c r="B15" s="59">
        <v>616</v>
      </c>
      <c r="C15" s="59">
        <v>0.7</v>
      </c>
      <c r="D15" s="63">
        <f>D5*C15</f>
        <v>5660.9</v>
      </c>
      <c r="E15" s="60">
        <f>E5*C15</f>
        <v>8537.9</v>
      </c>
      <c r="F15" s="60">
        <f>F5*C15</f>
        <v>8537.9</v>
      </c>
      <c r="G15" s="60">
        <f>G5*C15</f>
        <v>3585.3999999999996</v>
      </c>
      <c r="H15" s="60">
        <f>H5*C15</f>
        <v>3585.3999999999996</v>
      </c>
      <c r="I15" s="60">
        <f>I5*C15</f>
        <v>4354</v>
      </c>
      <c r="J15" s="60">
        <f>J5*C15</f>
        <v>5240.2</v>
      </c>
    </row>
    <row r="16" spans="1:10">
      <c r="A16" s="58" t="s">
        <v>125</v>
      </c>
      <c r="B16" s="59">
        <v>1500</v>
      </c>
      <c r="C16" s="59">
        <v>1</v>
      </c>
      <c r="D16" s="60">
        <v>8087</v>
      </c>
      <c r="E16" s="60">
        <v>12197</v>
      </c>
      <c r="F16" s="60">
        <v>12197</v>
      </c>
      <c r="G16" s="60">
        <v>5122</v>
      </c>
      <c r="H16" s="60">
        <v>5122</v>
      </c>
      <c r="I16" s="60">
        <v>6220</v>
      </c>
      <c r="J16" s="60">
        <v>7486</v>
      </c>
    </row>
    <row r="17" spans="1:24">
      <c r="A17" s="58" t="s">
        <v>126</v>
      </c>
      <c r="B17" s="59">
        <v>2118</v>
      </c>
      <c r="C17" s="59">
        <v>1.2</v>
      </c>
      <c r="D17" s="60">
        <f>D5*C17</f>
        <v>9704.4</v>
      </c>
      <c r="E17" s="60">
        <f>E5*C17</f>
        <v>14636.4</v>
      </c>
      <c r="F17" s="60">
        <f>F5*C17</f>
        <v>14636.4</v>
      </c>
      <c r="G17" s="60">
        <f>G5*C17</f>
        <v>6146.4</v>
      </c>
      <c r="H17" s="60">
        <f>H5*C17</f>
        <v>6146.4</v>
      </c>
      <c r="I17" s="60">
        <f>I5*C17</f>
        <v>7464</v>
      </c>
      <c r="J17" s="60">
        <f>J5*C17</f>
        <v>8983.1999999999989</v>
      </c>
    </row>
    <row r="18" spans="1:24">
      <c r="A18" s="58" t="s">
        <v>127</v>
      </c>
      <c r="B18" s="59">
        <v>616</v>
      </c>
      <c r="C18" s="59">
        <v>0.7</v>
      </c>
      <c r="D18" s="63">
        <f>D5*C18</f>
        <v>5660.9</v>
      </c>
      <c r="E18" s="60">
        <f>E5*C18</f>
        <v>8537.9</v>
      </c>
      <c r="F18" s="60">
        <f>F5*C18</f>
        <v>8537.9</v>
      </c>
      <c r="G18" s="60">
        <f>G5*C18</f>
        <v>3585.3999999999996</v>
      </c>
      <c r="H18" s="60">
        <f>H5*C18</f>
        <v>3585.3999999999996</v>
      </c>
      <c r="I18" s="60">
        <f>I5*C18</f>
        <v>4354</v>
      </c>
      <c r="J18" s="60">
        <f>J5*C18</f>
        <v>5240.2</v>
      </c>
    </row>
    <row r="19" spans="1:24">
      <c r="A19" s="58" t="s">
        <v>128</v>
      </c>
      <c r="B19" s="59">
        <v>1450</v>
      </c>
      <c r="C19" s="59">
        <v>1</v>
      </c>
      <c r="D19" s="60">
        <v>8087</v>
      </c>
      <c r="E19" s="60">
        <v>12197</v>
      </c>
      <c r="F19" s="60">
        <v>12197</v>
      </c>
      <c r="G19" s="60">
        <v>5122</v>
      </c>
      <c r="H19" s="60">
        <v>5122</v>
      </c>
      <c r="I19" s="60">
        <v>6220</v>
      </c>
      <c r="J19" s="60">
        <v>7486</v>
      </c>
    </row>
    <row r="20" spans="1:24">
      <c r="C20" s="55" t="s">
        <v>129</v>
      </c>
      <c r="D20" s="64">
        <f>+AVERAGE(D5:D19)</f>
        <v>8060.0433333333322</v>
      </c>
      <c r="E20" s="64">
        <f>+AVERAGE(E5:E19)</f>
        <v>12156.343333333332</v>
      </c>
      <c r="F20" s="64">
        <f>+AVERAGE(F5:F19)</f>
        <v>12156.343333333332</v>
      </c>
      <c r="G20" s="64">
        <f>+AVERAGE(G5:G19)</f>
        <v>5104.9266666666663</v>
      </c>
      <c r="H20" s="64">
        <f>+AVERAGE(H5:H19)</f>
        <v>5104.9266666666663</v>
      </c>
      <c r="I20" s="64">
        <f t="shared" ref="I20:J20" si="0">+AVERAGE(I5:I19)</f>
        <v>6199.2666666666664</v>
      </c>
      <c r="J20" s="64">
        <f t="shared" si="0"/>
        <v>7461.0466666666662</v>
      </c>
    </row>
    <row r="23" spans="1:24">
      <c r="F23" s="55"/>
      <c r="G23" s="64"/>
      <c r="H23" s="64"/>
      <c r="I23" s="64"/>
      <c r="J23" s="64"/>
      <c r="K23" s="64"/>
      <c r="L23" s="64"/>
      <c r="M23" s="64"/>
    </row>
    <row r="24" spans="1:24">
      <c r="A24" s="55" t="s">
        <v>130</v>
      </c>
      <c r="E24" s="65" t="s">
        <v>131</v>
      </c>
    </row>
    <row r="25" spans="1:24">
      <c r="A25" s="66" t="s">
        <v>132</v>
      </c>
      <c r="B25" s="67" t="s">
        <v>133</v>
      </c>
      <c r="C25" s="67" t="s">
        <v>134</v>
      </c>
      <c r="D25" s="68" t="s">
        <v>135</v>
      </c>
      <c r="E25" s="69" t="s">
        <v>136</v>
      </c>
      <c r="F25" s="69" t="s">
        <v>137</v>
      </c>
      <c r="G25" s="69" t="s">
        <v>138</v>
      </c>
      <c r="H25" s="69" t="s">
        <v>137</v>
      </c>
      <c r="I25" s="69" t="s">
        <v>139</v>
      </c>
      <c r="J25" s="69" t="s">
        <v>137</v>
      </c>
      <c r="K25" s="69" t="s">
        <v>140</v>
      </c>
      <c r="L25" s="69" t="s">
        <v>137</v>
      </c>
      <c r="M25" s="69" t="s">
        <v>141</v>
      </c>
      <c r="N25" s="69" t="s">
        <v>137</v>
      </c>
      <c r="O25" s="69" t="s">
        <v>142</v>
      </c>
      <c r="P25" s="69" t="s">
        <v>137</v>
      </c>
      <c r="Q25" s="69" t="s">
        <v>143</v>
      </c>
      <c r="R25" s="69" t="s">
        <v>137</v>
      </c>
      <c r="S25" s="69" t="s">
        <v>144</v>
      </c>
      <c r="T25" s="69" t="s">
        <v>137</v>
      </c>
      <c r="U25" s="69" t="s">
        <v>145</v>
      </c>
      <c r="V25" s="69" t="s">
        <v>137</v>
      </c>
      <c r="W25" s="69" t="s">
        <v>146</v>
      </c>
      <c r="X25" s="69" t="s">
        <v>137</v>
      </c>
    </row>
    <row r="26" spans="1:24">
      <c r="A26" s="70" t="s">
        <v>147</v>
      </c>
      <c r="B26" s="70">
        <v>4362</v>
      </c>
      <c r="C26" s="70">
        <v>4620</v>
      </c>
      <c r="D26" s="71" t="s">
        <v>147</v>
      </c>
      <c r="E26" s="72">
        <f>+$C$26*1.1</f>
        <v>5082</v>
      </c>
      <c r="F26" s="63">
        <f>+E26*$D$20</f>
        <v>40961140.219999991</v>
      </c>
      <c r="G26" s="72">
        <f>+$B$26*1.1</f>
        <v>4798.2000000000007</v>
      </c>
      <c r="H26" s="63">
        <f>+G26*$D$20</f>
        <v>38673699.921999998</v>
      </c>
      <c r="I26" s="72">
        <f>+$C$26*1.1</f>
        <v>5082</v>
      </c>
      <c r="J26" s="63">
        <f>+I26*$D$20</f>
        <v>40961140.219999991</v>
      </c>
      <c r="K26" s="72">
        <f>+$B$26*1.1</f>
        <v>4798.2000000000007</v>
      </c>
      <c r="L26" s="63">
        <f>+K26*$D$20</f>
        <v>38673699.921999998</v>
      </c>
      <c r="M26" s="72">
        <f>+$C$26*1.1</f>
        <v>5082</v>
      </c>
      <c r="N26" s="63">
        <f>+M26*$D$20</f>
        <v>40961140.219999991</v>
      </c>
      <c r="O26" s="72">
        <f>+$C$26*1.1</f>
        <v>5082</v>
      </c>
      <c r="P26" s="63">
        <f>+O26*$D$20</f>
        <v>40961140.219999991</v>
      </c>
      <c r="Q26" s="72">
        <f>+$B$26*1.1</f>
        <v>4798.2000000000007</v>
      </c>
      <c r="R26" s="63">
        <f>+Q26*$D$20</f>
        <v>38673699.921999998</v>
      </c>
      <c r="S26" s="72">
        <f>+$C$26*1.1</f>
        <v>5082</v>
      </c>
      <c r="T26" s="63">
        <f>+S26*$D$20</f>
        <v>40961140.219999991</v>
      </c>
      <c r="U26" s="72">
        <f>+$B$26*1.1</f>
        <v>4798.2000000000007</v>
      </c>
      <c r="V26" s="63">
        <f>+U26*$D$20</f>
        <v>38673699.921999998</v>
      </c>
      <c r="W26" s="72">
        <f>+$C$26*1.1</f>
        <v>5082</v>
      </c>
      <c r="X26" s="63">
        <f>+W26*$D$20</f>
        <v>40961140.219999991</v>
      </c>
    </row>
    <row r="27" spans="1:24">
      <c r="A27" s="70" t="s">
        <v>148</v>
      </c>
      <c r="B27" s="70">
        <v>1549</v>
      </c>
      <c r="C27" s="70">
        <v>1684</v>
      </c>
      <c r="D27" s="71" t="s">
        <v>148</v>
      </c>
      <c r="E27" s="72">
        <f>+$C$27*1.1</f>
        <v>1852.4</v>
      </c>
      <c r="F27" s="63">
        <f>+E27*$G$20</f>
        <v>9456366.157333333</v>
      </c>
      <c r="G27" s="72">
        <f>+$B$27*1.1</f>
        <v>1703.9</v>
      </c>
      <c r="H27" s="63">
        <f>+G27*$G$20</f>
        <v>8698284.5473333336</v>
      </c>
      <c r="I27" s="72">
        <f>+$C$27*1.1</f>
        <v>1852.4</v>
      </c>
      <c r="J27" s="63">
        <f>+I27*$G$20</f>
        <v>9456366.157333333</v>
      </c>
      <c r="K27" s="72">
        <f>+$B$27*1.1</f>
        <v>1703.9</v>
      </c>
      <c r="L27" s="63">
        <f>+K27*$G$20</f>
        <v>8698284.5473333336</v>
      </c>
      <c r="M27" s="72">
        <f>+$C$27*1.1</f>
        <v>1852.4</v>
      </c>
      <c r="N27" s="63">
        <f>+M27*$G$20</f>
        <v>9456366.157333333</v>
      </c>
      <c r="O27" s="72">
        <f>+$C$27*1.1</f>
        <v>1852.4</v>
      </c>
      <c r="P27" s="63">
        <f>+O27*$G$20</f>
        <v>9456366.157333333</v>
      </c>
      <c r="Q27" s="72">
        <f>+$B$27*1.1</f>
        <v>1703.9</v>
      </c>
      <c r="R27" s="63">
        <f>+Q27*$G$20</f>
        <v>8698284.5473333336</v>
      </c>
      <c r="S27" s="72">
        <f>+$C$27*1.1</f>
        <v>1852.4</v>
      </c>
      <c r="T27" s="63">
        <f>+S27*$G$20</f>
        <v>9456366.157333333</v>
      </c>
      <c r="U27" s="72">
        <f>+$B$27*1.1</f>
        <v>1703.9</v>
      </c>
      <c r="V27" s="63">
        <f>+U27*$G$20</f>
        <v>8698284.5473333336</v>
      </c>
      <c r="W27" s="72">
        <f>+$C$27*1.1</f>
        <v>1852.4</v>
      </c>
      <c r="X27" s="63">
        <f>+W27*$G$20</f>
        <v>9456366.157333333</v>
      </c>
    </row>
    <row r="28" spans="1:24">
      <c r="A28" s="70" t="s">
        <v>149</v>
      </c>
      <c r="B28" s="70">
        <v>4317</v>
      </c>
      <c r="C28" s="70">
        <v>4679</v>
      </c>
      <c r="D28" s="71" t="s">
        <v>149</v>
      </c>
      <c r="E28" s="72">
        <f>+$C$28*1.1</f>
        <v>5146.9000000000005</v>
      </c>
      <c r="F28" s="63">
        <f>+E28*$E$20</f>
        <v>62567483.502333336</v>
      </c>
      <c r="G28" s="72">
        <f>+$B$28*1.1</f>
        <v>4748.7000000000007</v>
      </c>
      <c r="H28" s="63">
        <f>+G28*$E$20</f>
        <v>57726827.587000005</v>
      </c>
      <c r="I28" s="72">
        <f>+$C$28*1.1</f>
        <v>5146.9000000000005</v>
      </c>
      <c r="J28" s="63">
        <f>+I28*$E$20</f>
        <v>62567483.502333336</v>
      </c>
      <c r="K28" s="72">
        <f>+$B$28*1.1</f>
        <v>4748.7000000000007</v>
      </c>
      <c r="L28" s="63">
        <f>+K28*$E$20</f>
        <v>57726827.587000005</v>
      </c>
      <c r="M28" s="72">
        <f>+$C$28*1.1</f>
        <v>5146.9000000000005</v>
      </c>
      <c r="N28" s="63">
        <f>+M28*$E$20</f>
        <v>62567483.502333336</v>
      </c>
      <c r="O28" s="72">
        <f>+$C$28*1.1</f>
        <v>5146.9000000000005</v>
      </c>
      <c r="P28" s="63">
        <f>+O28*$E$20</f>
        <v>62567483.502333336</v>
      </c>
      <c r="Q28" s="72">
        <f>+$B$28*1.1</f>
        <v>4748.7000000000007</v>
      </c>
      <c r="R28" s="63">
        <f>+Q28*$E$20</f>
        <v>57726827.587000005</v>
      </c>
      <c r="S28" s="72">
        <f>+$C$28*1.1</f>
        <v>5146.9000000000005</v>
      </c>
      <c r="T28" s="63">
        <f>+S28*$E$20</f>
        <v>62567483.502333336</v>
      </c>
      <c r="U28" s="72">
        <f>+$B$28*1.1</f>
        <v>4748.7000000000007</v>
      </c>
      <c r="V28" s="63">
        <f>+U28*$E$20</f>
        <v>57726827.587000005</v>
      </c>
      <c r="W28" s="72">
        <f>+$C$28*1.1</f>
        <v>5146.9000000000005</v>
      </c>
      <c r="X28" s="63">
        <f>+W28*$E$20</f>
        <v>62567483.502333336</v>
      </c>
    </row>
    <row r="29" spans="1:24">
      <c r="A29" s="70" t="s">
        <v>111</v>
      </c>
      <c r="B29" s="70">
        <v>1473</v>
      </c>
      <c r="C29" s="70">
        <v>1625</v>
      </c>
      <c r="D29" s="71" t="s">
        <v>111</v>
      </c>
      <c r="E29" s="72">
        <f>+$C$29*1.1</f>
        <v>1787.5000000000002</v>
      </c>
      <c r="F29" s="63">
        <f>+E29*$H$20</f>
        <v>9125056.4166666679</v>
      </c>
      <c r="G29" s="72">
        <f>+$B$29*1.1</f>
        <v>1620.3000000000002</v>
      </c>
      <c r="H29" s="63">
        <f>+G29*$H$20</f>
        <v>8271512.6780000003</v>
      </c>
      <c r="I29" s="72">
        <f>+$C$29*1.1</f>
        <v>1787.5000000000002</v>
      </c>
      <c r="J29" s="63">
        <f>+I29*$H$20</f>
        <v>9125056.4166666679</v>
      </c>
      <c r="K29" s="72">
        <f>+$B$29*1.1</f>
        <v>1620.3000000000002</v>
      </c>
      <c r="L29" s="63">
        <f>+K29*$H$20</f>
        <v>8271512.6780000003</v>
      </c>
      <c r="M29" s="72">
        <f>+$C$29*1.1</f>
        <v>1787.5000000000002</v>
      </c>
      <c r="N29" s="63">
        <f>+M29*$H$20</f>
        <v>9125056.4166666679</v>
      </c>
      <c r="O29" s="72">
        <f>+$C$29*1.1</f>
        <v>1787.5000000000002</v>
      </c>
      <c r="P29" s="63">
        <f>+O29*$H$20</f>
        <v>9125056.4166666679</v>
      </c>
      <c r="Q29" s="72">
        <f>+$B$29*1.1</f>
        <v>1620.3000000000002</v>
      </c>
      <c r="R29" s="63">
        <f>+Q29*$H$20</f>
        <v>8271512.6780000003</v>
      </c>
      <c r="S29" s="72">
        <f>+$C$29*1.1</f>
        <v>1787.5000000000002</v>
      </c>
      <c r="T29" s="63">
        <f>+S29*$H$20</f>
        <v>9125056.4166666679</v>
      </c>
      <c r="U29" s="72">
        <f>+$B$29*1.1</f>
        <v>1620.3000000000002</v>
      </c>
      <c r="V29" s="63">
        <f>+U29*$H$20</f>
        <v>8271512.6780000003</v>
      </c>
      <c r="W29" s="72">
        <f>+$C$29*1.1</f>
        <v>1787.5000000000002</v>
      </c>
      <c r="X29" s="63">
        <f>+W29*$H$20</f>
        <v>9125056.4166666679</v>
      </c>
    </row>
    <row r="30" spans="1:24">
      <c r="A30" s="70" t="s">
        <v>150</v>
      </c>
      <c r="B30" s="70">
        <v>4254</v>
      </c>
      <c r="C30" s="70">
        <v>4594</v>
      </c>
      <c r="D30" s="71" t="s">
        <v>150</v>
      </c>
      <c r="E30" s="72">
        <f>+$C$30*1.1</f>
        <v>5053.4000000000005</v>
      </c>
      <c r="F30" s="63">
        <f>+E30*$F$20</f>
        <v>61430865.400666669</v>
      </c>
      <c r="G30" s="72">
        <f>+$B$30*1.1</f>
        <v>4679.4000000000005</v>
      </c>
      <c r="H30" s="63">
        <f>+G30*$F$20</f>
        <v>56884392.994000003</v>
      </c>
      <c r="I30" s="72">
        <f>+$C$30*1.1</f>
        <v>5053.4000000000005</v>
      </c>
      <c r="J30" s="63">
        <f>+I30*$F$20</f>
        <v>61430865.400666669</v>
      </c>
      <c r="K30" s="72">
        <f>+$B$30*1.1</f>
        <v>4679.4000000000005</v>
      </c>
      <c r="L30" s="63">
        <f>+K30*$F$20</f>
        <v>56884392.994000003</v>
      </c>
      <c r="M30" s="72">
        <f>+$C$30*1.1</f>
        <v>5053.4000000000005</v>
      </c>
      <c r="N30" s="63">
        <f>+M30*$F$20</f>
        <v>61430865.400666669</v>
      </c>
      <c r="O30" s="72">
        <f>+$C$30*1.1</f>
        <v>5053.4000000000005</v>
      </c>
      <c r="P30" s="63">
        <f>+O30*$F$20</f>
        <v>61430865.400666669</v>
      </c>
      <c r="Q30" s="72">
        <f>+$B$30*1.1</f>
        <v>4679.4000000000005</v>
      </c>
      <c r="R30" s="63">
        <f>+Q30*$F$20</f>
        <v>56884392.994000003</v>
      </c>
      <c r="S30" s="72">
        <f>+$C$30*1.1</f>
        <v>5053.4000000000005</v>
      </c>
      <c r="T30" s="63">
        <f>+S30*$F$20</f>
        <v>61430865.400666669</v>
      </c>
      <c r="U30" s="72">
        <f>+$B$30*1.1</f>
        <v>4679.4000000000005</v>
      </c>
      <c r="V30" s="63">
        <f>+U30*$F$20</f>
        <v>56884392.994000003</v>
      </c>
      <c r="W30" s="72">
        <f>+$C$30*1.1</f>
        <v>5053.4000000000005</v>
      </c>
      <c r="X30" s="63">
        <f>+W30*$F$20</f>
        <v>61430865.400666669</v>
      </c>
    </row>
    <row r="31" spans="1:24">
      <c r="A31" s="70" t="s">
        <v>151</v>
      </c>
      <c r="B31" s="70">
        <v>838</v>
      </c>
      <c r="C31" s="70">
        <v>848</v>
      </c>
      <c r="D31" s="71" t="s">
        <v>151</v>
      </c>
      <c r="E31" s="72">
        <f>+$C$31*1.1</f>
        <v>932.80000000000007</v>
      </c>
      <c r="F31" s="63">
        <f>+E31*$I$20</f>
        <v>5782675.9466666672</v>
      </c>
      <c r="G31" s="72">
        <f>+$B$31*1.1</f>
        <v>921.80000000000007</v>
      </c>
      <c r="H31" s="63">
        <f>+G31*$I$20</f>
        <v>5714484.0133333337</v>
      </c>
      <c r="I31" s="72">
        <f>+$C$31*1.1</f>
        <v>932.80000000000007</v>
      </c>
      <c r="J31" s="63">
        <f>+I31*$I$20</f>
        <v>5782675.9466666672</v>
      </c>
      <c r="K31" s="72">
        <f>+$B$31*1.1</f>
        <v>921.80000000000007</v>
      </c>
      <c r="L31" s="63">
        <f>+K31*$I$20</f>
        <v>5714484.0133333337</v>
      </c>
      <c r="M31" s="72">
        <f>+$C$31*1.1</f>
        <v>932.80000000000007</v>
      </c>
      <c r="N31" s="63">
        <f>+M31*$I$20</f>
        <v>5782675.9466666672</v>
      </c>
      <c r="O31" s="72">
        <f>+$C$31*1.1</f>
        <v>932.80000000000007</v>
      </c>
      <c r="P31" s="63">
        <f>+O31*$I$20</f>
        <v>5782675.9466666672</v>
      </c>
      <c r="Q31" s="72">
        <f>+$B$31*1.1</f>
        <v>921.80000000000007</v>
      </c>
      <c r="R31" s="63">
        <f>+Q31*$I$20</f>
        <v>5714484.0133333337</v>
      </c>
      <c r="S31" s="72">
        <f>+$C$31*1.1</f>
        <v>932.80000000000007</v>
      </c>
      <c r="T31" s="63">
        <f>+S31*$I$20</f>
        <v>5782675.9466666672</v>
      </c>
      <c r="U31" s="72">
        <f>+$B$31*1.1</f>
        <v>921.80000000000007</v>
      </c>
      <c r="V31" s="63">
        <f>+U31*$I$20</f>
        <v>5714484.0133333337</v>
      </c>
      <c r="W31" s="72">
        <f>+$C$31*1.1</f>
        <v>932.80000000000007</v>
      </c>
      <c r="X31" s="63">
        <f>+W31*$I$20</f>
        <v>5782675.9466666672</v>
      </c>
    </row>
    <row r="32" spans="1:24">
      <c r="A32" s="70" t="s">
        <v>152</v>
      </c>
      <c r="B32" s="70">
        <v>490</v>
      </c>
      <c r="C32" s="70">
        <v>827</v>
      </c>
      <c r="D32" s="71" t="s">
        <v>152</v>
      </c>
      <c r="E32" s="72">
        <f>+$C$32*1.1</f>
        <v>909.7</v>
      </c>
      <c r="F32" s="63">
        <f>+E32*$J$20</f>
        <v>6787314.1526666665</v>
      </c>
      <c r="G32" s="72">
        <f>+$B$32*1.1</f>
        <v>539</v>
      </c>
      <c r="H32" s="63">
        <f>+G32*$J$20</f>
        <v>4021504.1533333329</v>
      </c>
      <c r="I32" s="72">
        <f>+$C$32*1.1</f>
        <v>909.7</v>
      </c>
      <c r="J32" s="63">
        <f>+I32*$J$20</f>
        <v>6787314.1526666665</v>
      </c>
      <c r="K32" s="72">
        <f>+$B$32*1.1</f>
        <v>539</v>
      </c>
      <c r="L32" s="63">
        <f>+K32*$J$20</f>
        <v>4021504.1533333329</v>
      </c>
      <c r="M32" s="72">
        <f>+$C$32*1.1</f>
        <v>909.7</v>
      </c>
      <c r="N32" s="63">
        <f>+M32*$J$20</f>
        <v>6787314.1526666665</v>
      </c>
      <c r="O32" s="72">
        <f>+$C$32*1.1</f>
        <v>909.7</v>
      </c>
      <c r="P32" s="63">
        <f>+O32*$J$20</f>
        <v>6787314.1526666665</v>
      </c>
      <c r="Q32" s="72">
        <f>+$B$32*1.1</f>
        <v>539</v>
      </c>
      <c r="R32" s="63">
        <f>+Q32*$J$20</f>
        <v>4021504.1533333329</v>
      </c>
      <c r="S32" s="72">
        <f>+$C$32*1.1</f>
        <v>909.7</v>
      </c>
      <c r="T32" s="63">
        <f>+S32*$J$20</f>
        <v>6787314.1526666665</v>
      </c>
      <c r="U32" s="72">
        <f>+$B$32*1.1</f>
        <v>539</v>
      </c>
      <c r="V32" s="63">
        <f>+U32*$J$20</f>
        <v>4021504.1533333329</v>
      </c>
      <c r="W32" s="72">
        <f>+$C$32*1.1</f>
        <v>909.7</v>
      </c>
      <c r="X32" s="63">
        <f>+W32*$J$20</f>
        <v>6787314.1526666665</v>
      </c>
    </row>
    <row r="33" spans="1:27">
      <c r="A33" s="73" t="s">
        <v>153</v>
      </c>
      <c r="B33" s="74">
        <f>+SUM(B26:B32)</f>
        <v>17283</v>
      </c>
      <c r="C33" s="74">
        <f>+SUM(C26:C32)</f>
        <v>18877</v>
      </c>
      <c r="E33" s="72">
        <f>+SUM(E26:E32)</f>
        <v>20764.7</v>
      </c>
      <c r="F33" s="75">
        <f t="shared" ref="F33:X33" si="1">+SUM(F26:F32)</f>
        <v>196110901.79633331</v>
      </c>
      <c r="G33" s="72">
        <f t="shared" si="1"/>
        <v>19011.300000000003</v>
      </c>
      <c r="H33" s="75">
        <f t="shared" si="1"/>
        <v>179990705.89500001</v>
      </c>
      <c r="I33" s="72">
        <f t="shared" si="1"/>
        <v>20764.7</v>
      </c>
      <c r="J33" s="75">
        <f t="shared" si="1"/>
        <v>196110901.79633331</v>
      </c>
      <c r="K33" s="72">
        <f t="shared" si="1"/>
        <v>19011.300000000003</v>
      </c>
      <c r="L33" s="75">
        <f t="shared" si="1"/>
        <v>179990705.89500001</v>
      </c>
      <c r="M33" s="72">
        <f t="shared" si="1"/>
        <v>20764.7</v>
      </c>
      <c r="N33" s="75">
        <f t="shared" si="1"/>
        <v>196110901.79633331</v>
      </c>
      <c r="O33" s="72">
        <f t="shared" si="1"/>
        <v>20764.7</v>
      </c>
      <c r="P33" s="75">
        <f t="shared" si="1"/>
        <v>196110901.79633331</v>
      </c>
      <c r="Q33" s="72">
        <f t="shared" si="1"/>
        <v>19011.300000000003</v>
      </c>
      <c r="R33" s="75">
        <f t="shared" si="1"/>
        <v>179990705.89500001</v>
      </c>
      <c r="S33" s="72">
        <f t="shared" si="1"/>
        <v>20764.7</v>
      </c>
      <c r="T33" s="75">
        <f t="shared" si="1"/>
        <v>196110901.79633331</v>
      </c>
      <c r="U33" s="72">
        <f t="shared" si="1"/>
        <v>19011.300000000003</v>
      </c>
      <c r="V33" s="75">
        <f t="shared" si="1"/>
        <v>179990705.89500001</v>
      </c>
      <c r="W33" s="72">
        <f t="shared" si="1"/>
        <v>20764.7</v>
      </c>
      <c r="X33" s="75">
        <f t="shared" si="1"/>
        <v>196110901.79633331</v>
      </c>
      <c r="Y33" s="76"/>
      <c r="Z33" s="76"/>
      <c r="AA33" s="76"/>
    </row>
    <row r="35" spans="1:27">
      <c r="A35" s="77" t="s">
        <v>154</v>
      </c>
      <c r="B35" s="78" t="s">
        <v>155</v>
      </c>
      <c r="C35" s="78" t="s">
        <v>134</v>
      </c>
      <c r="D35" s="79" t="s">
        <v>156</v>
      </c>
      <c r="E35" s="69" t="s">
        <v>136</v>
      </c>
      <c r="F35" s="69" t="s">
        <v>138</v>
      </c>
      <c r="G35" s="69" t="s">
        <v>139</v>
      </c>
      <c r="H35" s="69" t="s">
        <v>140</v>
      </c>
      <c r="I35" s="69" t="s">
        <v>141</v>
      </c>
      <c r="J35" s="69" t="s">
        <v>142</v>
      </c>
      <c r="K35" s="69" t="s">
        <v>157</v>
      </c>
      <c r="L35" s="69" t="s">
        <v>144</v>
      </c>
      <c r="M35" s="69" t="s">
        <v>145</v>
      </c>
      <c r="N35" s="69" t="s">
        <v>146</v>
      </c>
    </row>
    <row r="36" spans="1:27">
      <c r="A36" s="70" t="s">
        <v>158</v>
      </c>
      <c r="B36" s="60">
        <v>43000000</v>
      </c>
      <c r="C36" s="60">
        <v>46000000</v>
      </c>
      <c r="E36" s="60">
        <f>+C36*1.1</f>
        <v>50600000.000000007</v>
      </c>
      <c r="F36" s="60">
        <f>+B36*1.1</f>
        <v>47300000.000000007</v>
      </c>
      <c r="G36" s="60">
        <f>+C36*1.1</f>
        <v>50600000.000000007</v>
      </c>
      <c r="H36" s="60">
        <f>+B36*1.1</f>
        <v>47300000.000000007</v>
      </c>
      <c r="I36" s="60">
        <f>+B36*1.1</f>
        <v>47300000.000000007</v>
      </c>
      <c r="J36" s="60">
        <f>+C36*1.1</f>
        <v>50600000.000000007</v>
      </c>
      <c r="K36" s="60">
        <f>+B36*1.1</f>
        <v>47300000.000000007</v>
      </c>
      <c r="L36" s="60">
        <f>+B36*1.1</f>
        <v>47300000.000000007</v>
      </c>
      <c r="M36" s="60">
        <f>+B36*1.1</f>
        <v>47300000.000000007</v>
      </c>
      <c r="N36" s="60">
        <f>+B36*1.1</f>
        <v>47300000.000000007</v>
      </c>
    </row>
    <row r="37" spans="1:27" ht="30">
      <c r="F37" s="80" t="s">
        <v>159</v>
      </c>
      <c r="H37" s="81" t="s">
        <v>160</v>
      </c>
      <c r="I37" s="81" t="s">
        <v>160</v>
      </c>
      <c r="L37" s="81" t="s">
        <v>161</v>
      </c>
      <c r="N37" s="81" t="s">
        <v>162</v>
      </c>
    </row>
    <row r="39" spans="1:27" ht="30">
      <c r="A39" s="82" t="s">
        <v>163</v>
      </c>
      <c r="B39" s="206" t="s">
        <v>164</v>
      </c>
      <c r="C39" s="206"/>
      <c r="E39" s="83" t="s">
        <v>136</v>
      </c>
      <c r="F39" s="83" t="s">
        <v>138</v>
      </c>
      <c r="G39" s="83" t="s">
        <v>139</v>
      </c>
      <c r="H39" s="83" t="s">
        <v>140</v>
      </c>
      <c r="I39" s="83" t="s">
        <v>141</v>
      </c>
      <c r="J39" s="83" t="s">
        <v>142</v>
      </c>
      <c r="K39" s="83" t="s">
        <v>157</v>
      </c>
      <c r="L39" s="83" t="s">
        <v>144</v>
      </c>
      <c r="M39" s="83" t="s">
        <v>145</v>
      </c>
      <c r="N39" s="83" t="s">
        <v>146</v>
      </c>
    </row>
    <row r="40" spans="1:27" ht="45">
      <c r="A40" s="84" t="s">
        <v>165</v>
      </c>
      <c r="B40" s="59">
        <v>2207</v>
      </c>
      <c r="C40" s="60">
        <v>9786</v>
      </c>
      <c r="D40" s="85" t="s">
        <v>166</v>
      </c>
      <c r="E40" s="63">
        <f>+$B$40*$C$40</f>
        <v>21597702</v>
      </c>
      <c r="F40" s="63">
        <f>2107*$C$40</f>
        <v>20619102</v>
      </c>
      <c r="G40" s="63">
        <f>+$B$40*$C$40</f>
        <v>21597702</v>
      </c>
      <c r="H40" s="63">
        <f>2107*$C$40</f>
        <v>20619102</v>
      </c>
      <c r="I40" s="63">
        <f>+$B$40*$C$40</f>
        <v>21597702</v>
      </c>
      <c r="J40" s="63">
        <f>+$B$40*$C$40</f>
        <v>21597702</v>
      </c>
      <c r="K40" s="63">
        <f>2107*$C$40</f>
        <v>20619102</v>
      </c>
      <c r="L40" s="63">
        <f>+$B$40*$C$40</f>
        <v>21597702</v>
      </c>
      <c r="M40" s="63">
        <f>2107*$C$40</f>
        <v>20619102</v>
      </c>
      <c r="N40" s="63">
        <f>+$B$40*$C$40</f>
        <v>21597702</v>
      </c>
    </row>
    <row r="41" spans="1:27">
      <c r="A41" s="84" t="s">
        <v>167</v>
      </c>
      <c r="B41" s="59">
        <v>749</v>
      </c>
      <c r="C41" s="60">
        <v>9786</v>
      </c>
      <c r="E41" s="63">
        <f t="shared" ref="E41:N41" si="2">+$B$41*$C$41</f>
        <v>7329714</v>
      </c>
      <c r="F41" s="63">
        <f t="shared" si="2"/>
        <v>7329714</v>
      </c>
      <c r="G41" s="63">
        <f t="shared" si="2"/>
        <v>7329714</v>
      </c>
      <c r="H41" s="63">
        <f t="shared" si="2"/>
        <v>7329714</v>
      </c>
      <c r="I41" s="63">
        <f t="shared" si="2"/>
        <v>7329714</v>
      </c>
      <c r="J41" s="63">
        <f t="shared" si="2"/>
        <v>7329714</v>
      </c>
      <c r="K41" s="63">
        <f t="shared" si="2"/>
        <v>7329714</v>
      </c>
      <c r="L41" s="63">
        <f t="shared" si="2"/>
        <v>7329714</v>
      </c>
      <c r="M41" s="63">
        <f t="shared" si="2"/>
        <v>7329714</v>
      </c>
      <c r="N41" s="63">
        <f t="shared" si="2"/>
        <v>7329714</v>
      </c>
    </row>
    <row r="42" spans="1:27">
      <c r="A42" s="84" t="s">
        <v>168</v>
      </c>
      <c r="B42" s="59">
        <v>1061</v>
      </c>
      <c r="C42" s="60">
        <v>1829</v>
      </c>
      <c r="E42" s="63">
        <f>+$B$42*$C$42</f>
        <v>1940569</v>
      </c>
      <c r="F42" s="63">
        <f t="shared" ref="F42:N42" si="3">+$B$42*$C$42</f>
        <v>1940569</v>
      </c>
      <c r="G42" s="63">
        <f t="shared" si="3"/>
        <v>1940569</v>
      </c>
      <c r="H42" s="63">
        <f t="shared" si="3"/>
        <v>1940569</v>
      </c>
      <c r="I42" s="63">
        <f t="shared" si="3"/>
        <v>1940569</v>
      </c>
      <c r="J42" s="63">
        <f t="shared" si="3"/>
        <v>1940569</v>
      </c>
      <c r="K42" s="63">
        <f t="shared" si="3"/>
        <v>1940569</v>
      </c>
      <c r="L42" s="63">
        <f t="shared" si="3"/>
        <v>1940569</v>
      </c>
      <c r="M42" s="63">
        <f t="shared" si="3"/>
        <v>1940569</v>
      </c>
      <c r="N42" s="63">
        <f t="shared" si="3"/>
        <v>1940569</v>
      </c>
    </row>
    <row r="44" spans="1:27">
      <c r="A44" s="55" t="s">
        <v>169</v>
      </c>
      <c r="B44" t="s">
        <v>170</v>
      </c>
    </row>
  </sheetData>
  <mergeCells count="1">
    <mergeCell ref="B39:C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3" workbookViewId="0">
      <selection activeCell="G23" sqref="G23"/>
    </sheetView>
  </sheetViews>
  <sheetFormatPr baseColWidth="10" defaultColWidth="10.85546875" defaultRowHeight="15"/>
  <cols>
    <col min="1" max="1" width="10.85546875" style="133"/>
    <col min="2" max="2" width="12" style="133" bestFit="1" customWidth="1"/>
    <col min="3" max="4" width="10.85546875" style="133"/>
    <col min="5" max="5" width="12" style="133" bestFit="1" customWidth="1"/>
    <col min="6" max="7" width="10.85546875" style="133"/>
    <col min="8" max="8" width="11.140625" style="133" bestFit="1" customWidth="1"/>
    <col min="9" max="16384" width="10.85546875" style="133"/>
  </cols>
  <sheetData>
    <row r="1" spans="1:14">
      <c r="C1" s="133" t="s">
        <v>240</v>
      </c>
      <c r="D1" s="133" t="s">
        <v>241</v>
      </c>
      <c r="E1" s="133" t="s">
        <v>242</v>
      </c>
    </row>
    <row r="2" spans="1:14">
      <c r="A2" s="207" t="s">
        <v>239</v>
      </c>
      <c r="B2" s="207"/>
      <c r="C2" s="133">
        <v>35</v>
      </c>
      <c r="D2" s="133">
        <f>920*30</f>
        <v>27600</v>
      </c>
      <c r="E2" s="133">
        <f>+C2*D2</f>
        <v>966000</v>
      </c>
    </row>
    <row r="4" spans="1:14">
      <c r="A4" s="134" t="s">
        <v>245</v>
      </c>
      <c r="D4" s="134" t="s">
        <v>247</v>
      </c>
      <c r="G4" s="134" t="s">
        <v>248</v>
      </c>
      <c r="J4" s="134" t="s">
        <v>249</v>
      </c>
      <c r="M4" s="134" t="s">
        <v>250</v>
      </c>
    </row>
    <row r="5" spans="1:14">
      <c r="A5" s="133" t="s">
        <v>67</v>
      </c>
      <c r="B5" s="133">
        <v>212182</v>
      </c>
      <c r="D5" s="133" t="s">
        <v>67</v>
      </c>
      <c r="E5" s="133">
        <v>50000</v>
      </c>
      <c r="G5" s="133" t="s">
        <v>67</v>
      </c>
      <c r="H5" s="133">
        <v>0</v>
      </c>
      <c r="J5" s="133" t="s">
        <v>67</v>
      </c>
      <c r="K5" s="133">
        <v>480976</v>
      </c>
      <c r="M5" s="133" t="s">
        <v>67</v>
      </c>
      <c r="N5" s="133">
        <v>130914</v>
      </c>
    </row>
    <row r="6" spans="1:14">
      <c r="A6" s="133" t="s">
        <v>68</v>
      </c>
      <c r="B6" s="133">
        <v>237751</v>
      </c>
      <c r="D6" s="133" t="s">
        <v>68</v>
      </c>
      <c r="E6" s="133">
        <v>50000</v>
      </c>
      <c r="G6" s="133" t="s">
        <v>68</v>
      </c>
      <c r="H6" s="133">
        <v>0</v>
      </c>
      <c r="J6" s="133" t="s">
        <v>68</v>
      </c>
      <c r="K6" s="133">
        <v>643649</v>
      </c>
      <c r="M6" s="133" t="s">
        <v>68</v>
      </c>
      <c r="N6" s="133">
        <v>40800</v>
      </c>
    </row>
    <row r="7" spans="1:14">
      <c r="A7" s="133" t="s">
        <v>69</v>
      </c>
      <c r="B7" s="133">
        <v>209807</v>
      </c>
      <c r="D7" s="133" t="s">
        <v>69</v>
      </c>
      <c r="E7" s="133">
        <v>50000</v>
      </c>
      <c r="G7" s="133" t="s">
        <v>69</v>
      </c>
      <c r="H7" s="133">
        <v>39333000</v>
      </c>
      <c r="J7" s="133" t="s">
        <v>69</v>
      </c>
      <c r="K7" s="133">
        <v>2165000</v>
      </c>
      <c r="M7" s="133" t="s">
        <v>69</v>
      </c>
      <c r="N7" s="133">
        <v>0</v>
      </c>
    </row>
    <row r="8" spans="1:14">
      <c r="A8" s="133" t="s">
        <v>246</v>
      </c>
      <c r="B8" s="134">
        <f>+AVERAGE(B5:B7)</f>
        <v>219913.33333333334</v>
      </c>
      <c r="D8" s="133" t="s">
        <v>246</v>
      </c>
      <c r="E8" s="134">
        <f>+AVERAGE(E5:E7)</f>
        <v>50000</v>
      </c>
      <c r="H8" s="134">
        <f>+H7/3</f>
        <v>13111000</v>
      </c>
      <c r="J8" s="134" t="s">
        <v>246</v>
      </c>
      <c r="K8" s="134">
        <f>+AVERAGE(K5:K7)</f>
        <v>1096541.6666666667</v>
      </c>
      <c r="M8" s="134" t="s">
        <v>246</v>
      </c>
      <c r="N8" s="134">
        <f>+AVERAGE(N5:N7)</f>
        <v>57238</v>
      </c>
    </row>
    <row r="11" spans="1:14">
      <c r="A11" s="134" t="s">
        <v>251</v>
      </c>
      <c r="D11" s="134" t="s">
        <v>256</v>
      </c>
      <c r="G11" s="208" t="s">
        <v>257</v>
      </c>
      <c r="H11" s="208"/>
      <c r="J11" s="134" t="s">
        <v>29</v>
      </c>
      <c r="M11" s="134" t="s">
        <v>261</v>
      </c>
    </row>
    <row r="12" spans="1:14">
      <c r="A12" s="133" t="s">
        <v>67</v>
      </c>
      <c r="B12" s="133">
        <v>96794663.319999993</v>
      </c>
      <c r="D12" s="133" t="s">
        <v>67</v>
      </c>
      <c r="E12" s="133">
        <v>1855139</v>
      </c>
      <c r="H12" s="133">
        <v>492877</v>
      </c>
      <c r="J12" s="133" t="s">
        <v>67</v>
      </c>
      <c r="K12" s="133">
        <v>406000</v>
      </c>
      <c r="N12" s="133">
        <v>1050000</v>
      </c>
    </row>
    <row r="13" spans="1:14">
      <c r="A13" s="133" t="s">
        <v>68</v>
      </c>
      <c r="B13" s="133">
        <v>88997858</v>
      </c>
      <c r="D13" s="133" t="s">
        <v>68</v>
      </c>
      <c r="E13" s="133">
        <v>2626715</v>
      </c>
      <c r="H13" s="133">
        <v>2654900</v>
      </c>
      <c r="J13" s="133" t="s">
        <v>68</v>
      </c>
      <c r="K13" s="133">
        <v>0</v>
      </c>
      <c r="N13" s="133">
        <v>366437</v>
      </c>
    </row>
    <row r="14" spans="1:14">
      <c r="A14" s="133" t="s">
        <v>69</v>
      </c>
      <c r="B14" s="133">
        <v>108951247</v>
      </c>
      <c r="D14" s="133" t="s">
        <v>69</v>
      </c>
      <c r="E14" s="133">
        <v>4265931</v>
      </c>
      <c r="H14" s="133">
        <v>1692000</v>
      </c>
      <c r="J14" s="133" t="s">
        <v>69</v>
      </c>
      <c r="K14" s="133">
        <v>4265931</v>
      </c>
      <c r="N14" s="133">
        <v>196134</v>
      </c>
    </row>
    <row r="15" spans="1:14">
      <c r="A15" s="134" t="s">
        <v>246</v>
      </c>
      <c r="B15" s="134">
        <f>+AVERAGE(B13:B14)</f>
        <v>98974552.5</v>
      </c>
      <c r="D15" s="134" t="s">
        <v>246</v>
      </c>
      <c r="E15" s="134">
        <f>+AVERAGE(E13:E14)</f>
        <v>3446323</v>
      </c>
      <c r="H15" s="133">
        <v>1768023</v>
      </c>
      <c r="J15" s="134" t="s">
        <v>246</v>
      </c>
      <c r="K15" s="134">
        <f>+AVERAGE(K13:K14)</f>
        <v>2132965.5</v>
      </c>
      <c r="M15" s="134" t="s">
        <v>246</v>
      </c>
      <c r="N15" s="134">
        <f>+AVERAGE(N12:N14)</f>
        <v>537523.66666666663</v>
      </c>
    </row>
    <row r="16" spans="1:14">
      <c r="G16" s="134" t="s">
        <v>246</v>
      </c>
      <c r="H16" s="134">
        <f>+AVERAGE(H12:H15)</f>
        <v>1651950</v>
      </c>
    </row>
    <row r="18" spans="1:5">
      <c r="A18" s="134" t="s">
        <v>262</v>
      </c>
      <c r="D18" s="134" t="s">
        <v>265</v>
      </c>
    </row>
    <row r="19" spans="1:5">
      <c r="A19" s="133" t="s">
        <v>67</v>
      </c>
      <c r="B19" s="133">
        <v>74349</v>
      </c>
      <c r="D19" s="133" t="s">
        <v>67</v>
      </c>
      <c r="E19" s="133">
        <v>186000</v>
      </c>
    </row>
    <row r="20" spans="1:5">
      <c r="A20" s="133" t="s">
        <v>68</v>
      </c>
      <c r="B20" s="133">
        <v>92083</v>
      </c>
      <c r="D20" s="133" t="s">
        <v>68</v>
      </c>
      <c r="E20" s="133">
        <v>286900</v>
      </c>
    </row>
    <row r="21" spans="1:5">
      <c r="A21" s="133" t="s">
        <v>69</v>
      </c>
      <c r="B21" s="133">
        <v>213877</v>
      </c>
      <c r="D21" s="133" t="s">
        <v>69</v>
      </c>
      <c r="E21" s="133">
        <v>294215</v>
      </c>
    </row>
    <row r="22" spans="1:5">
      <c r="A22" s="134" t="s">
        <v>246</v>
      </c>
      <c r="B22" s="134">
        <f>+AVERAGE(B19:B21)</f>
        <v>126769.66666666667</v>
      </c>
      <c r="D22" s="134" t="s">
        <v>246</v>
      </c>
      <c r="E22" s="134">
        <f>+AVERAGE(E19:E21)</f>
        <v>255705</v>
      </c>
    </row>
  </sheetData>
  <mergeCells count="2">
    <mergeCell ref="A2:B2"/>
    <mergeCell ref="G11:H11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B1" zoomScale="120" zoomScaleNormal="120" zoomScaleSheetLayoutView="120" workbookViewId="0">
      <selection activeCell="E21" sqref="E21"/>
    </sheetView>
  </sheetViews>
  <sheetFormatPr baseColWidth="10" defaultRowHeight="15"/>
  <cols>
    <col min="1" max="1" width="5.7109375" customWidth="1"/>
    <col min="2" max="2" width="21.28515625" customWidth="1"/>
    <col min="3" max="3" width="24.140625" customWidth="1"/>
    <col min="4" max="4" width="19.5703125" customWidth="1"/>
    <col min="5" max="5" width="24.85546875" customWidth="1"/>
    <col min="6" max="6" width="18.42578125" customWidth="1"/>
    <col min="7" max="7" width="21.5703125" customWidth="1"/>
    <col min="8" max="8" width="21.5703125" style="198" customWidth="1"/>
    <col min="9" max="9" width="12" bestFit="1" customWidth="1"/>
  </cols>
  <sheetData>
    <row r="1" spans="1:12" s="174" customFormat="1" ht="11.25" customHeight="1">
      <c r="A1" s="221" t="s">
        <v>336</v>
      </c>
      <c r="B1" s="221"/>
      <c r="C1" s="221"/>
      <c r="D1" s="221"/>
      <c r="E1" s="221"/>
      <c r="F1" s="176"/>
      <c r="G1" s="176"/>
      <c r="H1" s="195"/>
      <c r="I1" s="176"/>
      <c r="J1" s="173"/>
      <c r="K1" s="175"/>
      <c r="L1" s="175"/>
    </row>
    <row r="2" spans="1:12" s="174" customFormat="1" ht="28.5" customHeight="1">
      <c r="A2" s="221" t="s">
        <v>337</v>
      </c>
      <c r="B2" s="221"/>
      <c r="C2" s="221"/>
      <c r="D2" s="221"/>
      <c r="E2" s="221"/>
      <c r="F2" s="176"/>
      <c r="G2" s="176"/>
      <c r="H2" s="195"/>
      <c r="I2" s="176"/>
      <c r="J2" s="173"/>
      <c r="K2" s="175"/>
      <c r="L2" s="175"/>
    </row>
    <row r="3" spans="1:12" s="174" customFormat="1" ht="12.75" customHeight="1">
      <c r="A3" s="221" t="s">
        <v>338</v>
      </c>
      <c r="B3" s="221"/>
      <c r="C3" s="221"/>
      <c r="D3" s="221"/>
      <c r="E3" s="221"/>
      <c r="F3" s="176"/>
      <c r="G3" s="176"/>
      <c r="H3" s="195"/>
      <c r="I3" s="176"/>
      <c r="J3" s="183"/>
      <c r="K3" s="181"/>
      <c r="L3" s="181"/>
    </row>
    <row r="4" spans="1:12" s="174" customFormat="1" ht="18" customHeight="1">
      <c r="A4" s="221" t="s">
        <v>358</v>
      </c>
      <c r="B4" s="221"/>
      <c r="C4" s="221"/>
      <c r="D4" s="221"/>
      <c r="E4" s="221"/>
      <c r="F4" s="176"/>
      <c r="G4" s="176"/>
      <c r="H4" s="195"/>
      <c r="I4" s="176"/>
      <c r="J4" s="183"/>
      <c r="K4" s="181"/>
      <c r="L4" s="181"/>
    </row>
    <row r="5" spans="1:12" s="174" customFormat="1" ht="15.75" customHeight="1">
      <c r="A5" s="222" t="s">
        <v>339</v>
      </c>
      <c r="B5" s="222"/>
      <c r="C5" s="222"/>
      <c r="D5" s="222"/>
      <c r="E5" s="222"/>
      <c r="F5" s="178"/>
      <c r="G5" s="178"/>
      <c r="H5" s="196"/>
      <c r="I5" s="178"/>
      <c r="J5" s="183"/>
      <c r="K5" s="181"/>
      <c r="L5" s="181"/>
    </row>
    <row r="6" spans="1:12" s="185" customFormat="1">
      <c r="A6" s="217" t="s">
        <v>340</v>
      </c>
      <c r="B6" s="218"/>
      <c r="C6" s="218"/>
      <c r="D6" s="218"/>
      <c r="E6" s="219"/>
      <c r="H6" s="197"/>
      <c r="J6" s="188"/>
    </row>
    <row r="7" spans="1:12" s="185" customFormat="1">
      <c r="A7" s="217" t="s">
        <v>341</v>
      </c>
      <c r="B7" s="218"/>
      <c r="C7" s="218"/>
      <c r="D7" s="218"/>
      <c r="E7" s="219"/>
      <c r="H7" s="197"/>
      <c r="J7" s="188"/>
    </row>
    <row r="8" spans="1:12" s="185" customFormat="1">
      <c r="A8" s="217" t="s">
        <v>342</v>
      </c>
      <c r="B8" s="218"/>
      <c r="C8" s="218"/>
      <c r="D8" s="218"/>
      <c r="E8" s="219"/>
      <c r="H8" s="197"/>
      <c r="J8" s="188"/>
    </row>
    <row r="9" spans="1:12" s="185" customFormat="1">
      <c r="A9" s="217" t="s">
        <v>343</v>
      </c>
      <c r="B9" s="218"/>
      <c r="C9" s="218"/>
      <c r="D9" s="218"/>
      <c r="E9" s="219"/>
      <c r="H9" s="197"/>
      <c r="J9" s="188"/>
    </row>
    <row r="10" spans="1:12" s="185" customFormat="1">
      <c r="A10" s="220" t="s">
        <v>344</v>
      </c>
      <c r="B10" s="220"/>
      <c r="C10" s="220"/>
      <c r="D10" s="220"/>
      <c r="E10" s="220"/>
      <c r="H10" s="197"/>
      <c r="J10" s="188"/>
    </row>
    <row r="11" spans="1:12" ht="33" customHeight="1">
      <c r="A11" s="194" t="s">
        <v>345</v>
      </c>
      <c r="B11" s="194" t="s">
        <v>283</v>
      </c>
      <c r="C11" s="194" t="s">
        <v>284</v>
      </c>
      <c r="D11" s="194" t="s">
        <v>355</v>
      </c>
      <c r="E11" s="233" t="s">
        <v>366</v>
      </c>
      <c r="F11" s="194" t="s">
        <v>350</v>
      </c>
      <c r="G11" s="194" t="s">
        <v>356</v>
      </c>
      <c r="H11" s="199" t="s">
        <v>351</v>
      </c>
      <c r="I11" s="163"/>
    </row>
    <row r="12" spans="1:12" ht="15.75">
      <c r="A12" s="209">
        <v>1</v>
      </c>
      <c r="B12" s="210" t="s">
        <v>114</v>
      </c>
      <c r="C12" s="167" t="s">
        <v>147</v>
      </c>
      <c r="D12" s="193">
        <v>15783</v>
      </c>
      <c r="E12" s="234"/>
      <c r="F12" s="211">
        <f>+E12+E13+E14</f>
        <v>0</v>
      </c>
      <c r="G12" s="200">
        <f>E12*D12</f>
        <v>0</v>
      </c>
      <c r="H12" s="214">
        <v>0.25</v>
      </c>
      <c r="I12" s="165"/>
    </row>
    <row r="13" spans="1:12" ht="15.75">
      <c r="A13" s="209"/>
      <c r="B13" s="210"/>
      <c r="C13" s="166" t="s">
        <v>149</v>
      </c>
      <c r="D13" s="193">
        <v>16043</v>
      </c>
      <c r="E13" s="234"/>
      <c r="F13" s="212"/>
      <c r="G13" s="200">
        <f t="shared" ref="G13:G44" si="0">E13*D13</f>
        <v>0</v>
      </c>
      <c r="H13" s="215"/>
      <c r="I13" s="163"/>
    </row>
    <row r="14" spans="1:12" ht="15.75">
      <c r="A14" s="209"/>
      <c r="B14" s="210"/>
      <c r="C14" s="166" t="s">
        <v>150</v>
      </c>
      <c r="D14" s="193">
        <v>16238</v>
      </c>
      <c r="E14" s="234"/>
      <c r="F14" s="213"/>
      <c r="G14" s="200">
        <f t="shared" si="0"/>
        <v>0</v>
      </c>
      <c r="H14" s="216"/>
      <c r="I14" s="163"/>
    </row>
    <row r="15" spans="1:12" ht="15.75">
      <c r="A15" s="209">
        <v>2</v>
      </c>
      <c r="B15" s="210" t="s">
        <v>115</v>
      </c>
      <c r="C15" s="167" t="s">
        <v>147</v>
      </c>
      <c r="D15" s="193">
        <v>8097</v>
      </c>
      <c r="E15" s="234"/>
      <c r="F15" s="211">
        <f t="shared" ref="F15" si="1">+E15+E16+E17</f>
        <v>0</v>
      </c>
      <c r="G15" s="200">
        <f t="shared" si="0"/>
        <v>0</v>
      </c>
      <c r="H15" s="214">
        <v>0.13</v>
      </c>
      <c r="I15" s="163"/>
    </row>
    <row r="16" spans="1:12" ht="15.75">
      <c r="A16" s="209"/>
      <c r="B16" s="210"/>
      <c r="C16" s="166" t="s">
        <v>149</v>
      </c>
      <c r="D16" s="193">
        <v>8235</v>
      </c>
      <c r="E16" s="234"/>
      <c r="F16" s="212"/>
      <c r="G16" s="200">
        <f t="shared" si="0"/>
        <v>0</v>
      </c>
      <c r="H16" s="215"/>
      <c r="I16" s="163"/>
    </row>
    <row r="17" spans="1:9" ht="15.75">
      <c r="A17" s="209"/>
      <c r="B17" s="210"/>
      <c r="C17" s="166" t="s">
        <v>150</v>
      </c>
      <c r="D17" s="193">
        <v>7972</v>
      </c>
      <c r="E17" s="234"/>
      <c r="F17" s="213"/>
      <c r="G17" s="200">
        <f t="shared" si="0"/>
        <v>0</v>
      </c>
      <c r="H17" s="216"/>
      <c r="I17" s="163"/>
    </row>
    <row r="18" spans="1:9" ht="15.75">
      <c r="A18" s="209">
        <v>3</v>
      </c>
      <c r="B18" s="210" t="s">
        <v>116</v>
      </c>
      <c r="C18" s="167" t="s">
        <v>147</v>
      </c>
      <c r="D18" s="193">
        <v>9690</v>
      </c>
      <c r="E18" s="234"/>
      <c r="F18" s="211">
        <f t="shared" ref="F18" si="2">+E18+E19+E20</f>
        <v>0</v>
      </c>
      <c r="G18" s="200">
        <f t="shared" si="0"/>
        <v>0</v>
      </c>
      <c r="H18" s="214">
        <v>0.15</v>
      </c>
      <c r="I18" s="163"/>
    </row>
    <row r="19" spans="1:9" ht="15.75">
      <c r="A19" s="209"/>
      <c r="B19" s="210"/>
      <c r="C19" s="166" t="s">
        <v>149</v>
      </c>
      <c r="D19" s="193">
        <v>9818</v>
      </c>
      <c r="E19" s="234"/>
      <c r="F19" s="212"/>
      <c r="G19" s="200">
        <f t="shared" si="0"/>
        <v>0</v>
      </c>
      <c r="H19" s="215"/>
      <c r="I19" s="163"/>
    </row>
    <row r="20" spans="1:9" ht="15.75">
      <c r="A20" s="209"/>
      <c r="B20" s="210"/>
      <c r="C20" s="166" t="s">
        <v>150</v>
      </c>
      <c r="D20" s="193">
        <v>9259</v>
      </c>
      <c r="E20" s="234"/>
      <c r="F20" s="213"/>
      <c r="G20" s="200">
        <f t="shared" si="0"/>
        <v>0</v>
      </c>
      <c r="H20" s="216"/>
      <c r="I20" s="163"/>
    </row>
    <row r="21" spans="1:9" ht="15.75">
      <c r="A21" s="209">
        <v>4</v>
      </c>
      <c r="B21" s="223" t="s">
        <v>346</v>
      </c>
      <c r="C21" s="167" t="s">
        <v>147</v>
      </c>
      <c r="D21" s="193">
        <v>3042</v>
      </c>
      <c r="E21" s="234"/>
      <c r="F21" s="211">
        <f t="shared" ref="F21" si="3">+E21+E22+E23</f>
        <v>0</v>
      </c>
      <c r="G21" s="200">
        <f t="shared" si="0"/>
        <v>0</v>
      </c>
      <c r="H21" s="214">
        <v>0.06</v>
      </c>
      <c r="I21" s="163"/>
    </row>
    <row r="22" spans="1:9" ht="15.75">
      <c r="A22" s="209"/>
      <c r="B22" s="223"/>
      <c r="C22" s="166" t="s">
        <v>149</v>
      </c>
      <c r="D22" s="193">
        <v>3746</v>
      </c>
      <c r="E22" s="234"/>
      <c r="F22" s="212"/>
      <c r="G22" s="200">
        <f t="shared" si="0"/>
        <v>0</v>
      </c>
      <c r="H22" s="215"/>
      <c r="I22" s="163"/>
    </row>
    <row r="23" spans="1:9" ht="15.75">
      <c r="A23" s="209"/>
      <c r="B23" s="223"/>
      <c r="C23" s="166" t="s">
        <v>150</v>
      </c>
      <c r="D23" s="193">
        <v>3611</v>
      </c>
      <c r="E23" s="234"/>
      <c r="F23" s="213"/>
      <c r="G23" s="200">
        <f t="shared" si="0"/>
        <v>0</v>
      </c>
      <c r="H23" s="216"/>
      <c r="I23" s="163"/>
    </row>
    <row r="24" spans="1:9" ht="15.75">
      <c r="A24" s="209">
        <v>5</v>
      </c>
      <c r="B24" s="210" t="s">
        <v>127</v>
      </c>
      <c r="C24" s="167" t="s">
        <v>147</v>
      </c>
      <c r="D24" s="193">
        <v>2284</v>
      </c>
      <c r="E24" s="234"/>
      <c r="F24" s="211">
        <f t="shared" ref="F24" si="4">+E24+E25+E26</f>
        <v>0</v>
      </c>
      <c r="G24" s="200">
        <f t="shared" si="0"/>
        <v>0</v>
      </c>
      <c r="H24" s="214">
        <v>0.03</v>
      </c>
      <c r="I24" s="163"/>
    </row>
    <row r="25" spans="1:9" ht="15.75">
      <c r="A25" s="209"/>
      <c r="B25" s="210"/>
      <c r="C25" s="166" t="s">
        <v>149</v>
      </c>
      <c r="D25" s="193">
        <v>1651</v>
      </c>
      <c r="E25" s="234"/>
      <c r="F25" s="212"/>
      <c r="G25" s="200">
        <f t="shared" si="0"/>
        <v>0</v>
      </c>
      <c r="H25" s="215"/>
      <c r="I25" s="163"/>
    </row>
    <row r="26" spans="1:9" ht="15.75">
      <c r="A26" s="209"/>
      <c r="B26" s="210"/>
      <c r="C26" s="166" t="s">
        <v>150</v>
      </c>
      <c r="D26" s="193">
        <v>1881</v>
      </c>
      <c r="E26" s="234"/>
      <c r="F26" s="213"/>
      <c r="G26" s="200">
        <f t="shared" si="0"/>
        <v>0</v>
      </c>
      <c r="H26" s="216"/>
      <c r="I26" s="163"/>
    </row>
    <row r="27" spans="1:9" ht="15.75">
      <c r="A27" s="209">
        <v>6</v>
      </c>
      <c r="B27" s="210" t="s">
        <v>121</v>
      </c>
      <c r="C27" s="167" t="s">
        <v>147</v>
      </c>
      <c r="D27" s="193">
        <v>726</v>
      </c>
      <c r="E27" s="234"/>
      <c r="F27" s="211">
        <f t="shared" ref="F27" si="5">+E27+E28+E29</f>
        <v>0</v>
      </c>
      <c r="G27" s="200">
        <f t="shared" si="0"/>
        <v>0</v>
      </c>
      <c r="H27" s="214">
        <v>0.01</v>
      </c>
      <c r="I27" s="163"/>
    </row>
    <row r="28" spans="1:9" ht="15.75">
      <c r="A28" s="209"/>
      <c r="B28" s="210"/>
      <c r="C28" s="166" t="s">
        <v>149</v>
      </c>
      <c r="D28" s="193">
        <v>743</v>
      </c>
      <c r="E28" s="234"/>
      <c r="F28" s="212"/>
      <c r="G28" s="200">
        <f t="shared" si="0"/>
        <v>0</v>
      </c>
      <c r="H28" s="215"/>
      <c r="I28" s="163"/>
    </row>
    <row r="29" spans="1:9" ht="15.75">
      <c r="A29" s="209"/>
      <c r="B29" s="210"/>
      <c r="C29" s="166" t="s">
        <v>150</v>
      </c>
      <c r="D29" s="193">
        <v>904</v>
      </c>
      <c r="E29" s="234"/>
      <c r="F29" s="213"/>
      <c r="G29" s="200">
        <f t="shared" si="0"/>
        <v>0</v>
      </c>
      <c r="H29" s="216"/>
      <c r="I29" s="163"/>
    </row>
    <row r="30" spans="1:9" ht="15.75">
      <c r="A30" s="209">
        <v>7</v>
      </c>
      <c r="B30" s="223" t="s">
        <v>347</v>
      </c>
      <c r="C30" s="167" t="s">
        <v>147</v>
      </c>
      <c r="D30" s="193">
        <v>3648</v>
      </c>
      <c r="E30" s="234"/>
      <c r="F30" s="211">
        <f t="shared" ref="F30" si="6">+E30+E31+E32</f>
        <v>0</v>
      </c>
      <c r="G30" s="200">
        <f t="shared" si="0"/>
        <v>0</v>
      </c>
      <c r="H30" s="214">
        <v>0.06</v>
      </c>
      <c r="I30" s="163"/>
    </row>
    <row r="31" spans="1:9" ht="15.75">
      <c r="A31" s="209"/>
      <c r="B31" s="223"/>
      <c r="C31" s="166" t="s">
        <v>149</v>
      </c>
      <c r="D31" s="193">
        <v>3711</v>
      </c>
      <c r="E31" s="234"/>
      <c r="F31" s="212"/>
      <c r="G31" s="200">
        <f t="shared" si="0"/>
        <v>0</v>
      </c>
      <c r="H31" s="215"/>
      <c r="I31" s="163"/>
    </row>
    <row r="32" spans="1:9" ht="15.75">
      <c r="A32" s="209"/>
      <c r="B32" s="223"/>
      <c r="C32" s="166" t="s">
        <v>150</v>
      </c>
      <c r="D32" s="193">
        <v>3629</v>
      </c>
      <c r="E32" s="234"/>
      <c r="F32" s="213"/>
      <c r="G32" s="200">
        <f t="shared" si="0"/>
        <v>0</v>
      </c>
      <c r="H32" s="216"/>
      <c r="I32" s="163"/>
    </row>
    <row r="33" spans="1:9" ht="15.75">
      <c r="A33" s="209">
        <v>8</v>
      </c>
      <c r="B33" s="223" t="s">
        <v>286</v>
      </c>
      <c r="C33" s="167" t="s">
        <v>147</v>
      </c>
      <c r="D33" s="193">
        <v>12119</v>
      </c>
      <c r="E33" s="234"/>
      <c r="F33" s="211">
        <f t="shared" ref="F33" si="7">+E33+E34+E35</f>
        <v>0</v>
      </c>
      <c r="G33" s="200">
        <f t="shared" si="0"/>
        <v>0</v>
      </c>
      <c r="H33" s="214">
        <v>0.19</v>
      </c>
      <c r="I33" s="163"/>
    </row>
    <row r="34" spans="1:9" ht="15.75">
      <c r="A34" s="209"/>
      <c r="B34" s="223"/>
      <c r="C34" s="166" t="s">
        <v>149</v>
      </c>
      <c r="D34" s="193">
        <v>12376</v>
      </c>
      <c r="E34" s="234"/>
      <c r="F34" s="212"/>
      <c r="G34" s="200">
        <f t="shared" si="0"/>
        <v>0</v>
      </c>
      <c r="H34" s="215"/>
      <c r="I34" s="163"/>
    </row>
    <row r="35" spans="1:9" ht="15.75">
      <c r="A35" s="209"/>
      <c r="B35" s="223"/>
      <c r="C35" s="166" t="s">
        <v>150</v>
      </c>
      <c r="D35" s="193">
        <v>12182</v>
      </c>
      <c r="E35" s="234"/>
      <c r="F35" s="213"/>
      <c r="G35" s="200">
        <f t="shared" si="0"/>
        <v>0</v>
      </c>
      <c r="H35" s="216"/>
      <c r="I35" s="163"/>
    </row>
    <row r="36" spans="1:9" ht="15.75">
      <c r="A36" s="209">
        <v>9</v>
      </c>
      <c r="B36" s="210" t="s">
        <v>117</v>
      </c>
      <c r="C36" s="167" t="s">
        <v>147</v>
      </c>
      <c r="D36" s="193">
        <v>4759</v>
      </c>
      <c r="E36" s="234"/>
      <c r="F36" s="211">
        <f t="shared" ref="F36" si="8">+E36+E37+E38</f>
        <v>0</v>
      </c>
      <c r="G36" s="200">
        <f t="shared" si="0"/>
        <v>0</v>
      </c>
      <c r="H36" s="214">
        <v>7.0000000000000007E-2</v>
      </c>
      <c r="I36" s="163"/>
    </row>
    <row r="37" spans="1:9" ht="15.75">
      <c r="A37" s="209"/>
      <c r="B37" s="210"/>
      <c r="C37" s="166" t="s">
        <v>149</v>
      </c>
      <c r="D37" s="193">
        <v>4645</v>
      </c>
      <c r="E37" s="234"/>
      <c r="F37" s="212"/>
      <c r="G37" s="200">
        <f t="shared" si="0"/>
        <v>0</v>
      </c>
      <c r="H37" s="215"/>
      <c r="I37" s="163"/>
    </row>
    <row r="38" spans="1:9" ht="15.75">
      <c r="A38" s="209"/>
      <c r="B38" s="210"/>
      <c r="C38" s="166" t="s">
        <v>150</v>
      </c>
      <c r="D38" s="193">
        <v>4581</v>
      </c>
      <c r="E38" s="234"/>
      <c r="F38" s="213"/>
      <c r="G38" s="200">
        <f t="shared" si="0"/>
        <v>0</v>
      </c>
      <c r="H38" s="216"/>
      <c r="I38" s="163"/>
    </row>
    <row r="39" spans="1:9" ht="15.75">
      <c r="A39" s="209">
        <v>10</v>
      </c>
      <c r="B39" s="223" t="s">
        <v>348</v>
      </c>
      <c r="C39" s="167" t="s">
        <v>147</v>
      </c>
      <c r="D39" s="193">
        <v>2785</v>
      </c>
      <c r="E39" s="234"/>
      <c r="F39" s="211">
        <f t="shared" ref="F39" si="9">+E39+E40+E41</f>
        <v>0</v>
      </c>
      <c r="G39" s="200">
        <f t="shared" si="0"/>
        <v>0</v>
      </c>
      <c r="H39" s="214">
        <v>0.05</v>
      </c>
      <c r="I39" s="163"/>
    </row>
    <row r="40" spans="1:9" ht="15.75">
      <c r="A40" s="209"/>
      <c r="B40" s="223"/>
      <c r="C40" s="166" t="s">
        <v>149</v>
      </c>
      <c r="D40" s="193">
        <v>2871</v>
      </c>
      <c r="E40" s="234"/>
      <c r="F40" s="212"/>
      <c r="G40" s="200">
        <f t="shared" si="0"/>
        <v>0</v>
      </c>
      <c r="H40" s="215"/>
      <c r="I40" s="163"/>
    </row>
    <row r="41" spans="1:9" ht="15.75">
      <c r="A41" s="209"/>
      <c r="B41" s="223"/>
      <c r="C41" s="166" t="s">
        <v>150</v>
      </c>
      <c r="D41" s="193">
        <v>2971</v>
      </c>
      <c r="E41" s="234"/>
      <c r="F41" s="213"/>
      <c r="G41" s="200">
        <f t="shared" si="0"/>
        <v>0</v>
      </c>
      <c r="H41" s="216"/>
      <c r="I41" s="163"/>
    </row>
    <row r="42" spans="1:9" ht="15.75">
      <c r="A42" s="209"/>
      <c r="B42" s="210" t="s">
        <v>352</v>
      </c>
      <c r="C42" s="167" t="s">
        <v>148</v>
      </c>
      <c r="D42" s="193">
        <v>43200</v>
      </c>
      <c r="E42" s="234"/>
      <c r="F42" s="211">
        <f t="shared" ref="F42" si="10">+E42+E43+E44</f>
        <v>0</v>
      </c>
      <c r="G42" s="200">
        <f t="shared" si="0"/>
        <v>0</v>
      </c>
      <c r="H42" s="214">
        <v>7.0000000000000007E-2</v>
      </c>
      <c r="I42" s="163"/>
    </row>
    <row r="43" spans="1:9" ht="15.75">
      <c r="A43" s="209"/>
      <c r="B43" s="210"/>
      <c r="C43" s="167" t="s">
        <v>111</v>
      </c>
      <c r="D43" s="193">
        <v>28800</v>
      </c>
      <c r="E43" s="234"/>
      <c r="F43" s="212"/>
      <c r="G43" s="200">
        <f t="shared" si="0"/>
        <v>0</v>
      </c>
      <c r="H43" s="215"/>
      <c r="I43" s="163"/>
    </row>
    <row r="44" spans="1:9" ht="15.75">
      <c r="A44" s="209"/>
      <c r="B44" s="210"/>
      <c r="C44" s="166" t="s">
        <v>353</v>
      </c>
      <c r="D44" s="193">
        <v>10800</v>
      </c>
      <c r="E44" s="234"/>
      <c r="F44" s="213"/>
      <c r="G44" s="201">
        <f t="shared" si="0"/>
        <v>0</v>
      </c>
      <c r="H44" s="216"/>
      <c r="I44" s="163"/>
    </row>
  </sheetData>
  <mergeCells count="54">
    <mergeCell ref="A30:A32"/>
    <mergeCell ref="B30:B32"/>
    <mergeCell ref="A27:A29"/>
    <mergeCell ref="B27:B29"/>
    <mergeCell ref="A24:A26"/>
    <mergeCell ref="B24:B26"/>
    <mergeCell ref="A21:A23"/>
    <mergeCell ref="B21:B23"/>
    <mergeCell ref="A33:A35"/>
    <mergeCell ref="B33:B35"/>
    <mergeCell ref="A39:A41"/>
    <mergeCell ref="B39:B41"/>
    <mergeCell ref="A36:A38"/>
    <mergeCell ref="B36:B38"/>
    <mergeCell ref="A12:A14"/>
    <mergeCell ref="B12:B14"/>
    <mergeCell ref="A15:A17"/>
    <mergeCell ref="B15:B17"/>
    <mergeCell ref="A18:A20"/>
    <mergeCell ref="B18:B20"/>
    <mergeCell ref="A1:E1"/>
    <mergeCell ref="A2:E2"/>
    <mergeCell ref="A3:E3"/>
    <mergeCell ref="A4:E4"/>
    <mergeCell ref="A5:E5"/>
    <mergeCell ref="F33:F35"/>
    <mergeCell ref="F36:F38"/>
    <mergeCell ref="F39:F41"/>
    <mergeCell ref="F12:F14"/>
    <mergeCell ref="F15:F17"/>
    <mergeCell ref="F18:F20"/>
    <mergeCell ref="F21:F23"/>
    <mergeCell ref="F24:F26"/>
    <mergeCell ref="H18:H20"/>
    <mergeCell ref="H21:H23"/>
    <mergeCell ref="H24:H26"/>
    <mergeCell ref="F27:F29"/>
    <mergeCell ref="F30:F32"/>
    <mergeCell ref="A42:A44"/>
    <mergeCell ref="B42:B44"/>
    <mergeCell ref="F42:F44"/>
    <mergeCell ref="H42:H44"/>
    <mergeCell ref="A6:E6"/>
    <mergeCell ref="A7:E7"/>
    <mergeCell ref="A8:E8"/>
    <mergeCell ref="A9:E9"/>
    <mergeCell ref="A10:E10"/>
    <mergeCell ref="H27:H29"/>
    <mergeCell ref="H30:H32"/>
    <mergeCell ref="H33:H35"/>
    <mergeCell ref="H36:H38"/>
    <mergeCell ref="H39:H41"/>
    <mergeCell ref="H12:H14"/>
    <mergeCell ref="H15:H17"/>
  </mergeCells>
  <pageMargins left="0.7" right="0.7" top="0.75" bottom="0.75" header="0.3" footer="0.3"/>
  <pageSetup scale="4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zoomScale="120" zoomScaleNormal="120" zoomScaleSheetLayoutView="120" workbookViewId="0">
      <selection activeCell="D11" sqref="D11:D12"/>
    </sheetView>
  </sheetViews>
  <sheetFormatPr baseColWidth="10" defaultRowHeight="15"/>
  <cols>
    <col min="1" max="1" width="35.5703125" customWidth="1"/>
    <col min="2" max="2" width="17.140625" style="162" bestFit="1" customWidth="1"/>
    <col min="3" max="3" width="8.42578125" customWidth="1"/>
    <col min="4" max="4" width="24.42578125" customWidth="1"/>
    <col min="5" max="5" width="16.140625" customWidth="1"/>
  </cols>
  <sheetData>
    <row r="1" spans="1:24" s="174" customFormat="1" ht="11.25" customHeight="1">
      <c r="A1" s="221" t="s">
        <v>336</v>
      </c>
      <c r="B1" s="221"/>
      <c r="C1" s="221"/>
      <c r="D1" s="221"/>
      <c r="E1" s="221"/>
      <c r="F1" s="176"/>
      <c r="G1" s="176"/>
      <c r="H1" s="176"/>
      <c r="I1" s="176"/>
      <c r="J1" s="176"/>
      <c r="K1" s="177"/>
      <c r="L1" s="175"/>
      <c r="M1" s="172"/>
      <c r="N1" s="175"/>
      <c r="O1" s="173"/>
      <c r="P1" s="180"/>
      <c r="Q1" s="175"/>
      <c r="R1" s="180"/>
      <c r="S1" s="175"/>
      <c r="T1" s="173"/>
      <c r="U1" s="173"/>
      <c r="V1" s="173"/>
      <c r="W1" s="175"/>
      <c r="X1" s="175"/>
    </row>
    <row r="2" spans="1:24" s="174" customFormat="1" ht="12">
      <c r="A2" s="221" t="s">
        <v>337</v>
      </c>
      <c r="B2" s="221"/>
      <c r="C2" s="221"/>
      <c r="D2" s="221"/>
      <c r="E2" s="221"/>
      <c r="F2" s="176"/>
      <c r="G2" s="176"/>
      <c r="H2" s="176"/>
      <c r="I2" s="176"/>
      <c r="J2" s="176"/>
      <c r="K2" s="177"/>
      <c r="L2" s="175"/>
      <c r="M2" s="172"/>
      <c r="N2" s="175"/>
      <c r="O2" s="173"/>
      <c r="P2" s="180"/>
      <c r="Q2" s="175"/>
      <c r="R2" s="180"/>
      <c r="S2" s="175"/>
      <c r="T2" s="173"/>
      <c r="U2" s="173"/>
      <c r="V2" s="173"/>
      <c r="W2" s="175"/>
      <c r="X2" s="175"/>
    </row>
    <row r="3" spans="1:24" s="174" customFormat="1" ht="12">
      <c r="A3" s="221" t="s">
        <v>338</v>
      </c>
      <c r="B3" s="221"/>
      <c r="C3" s="221"/>
      <c r="D3" s="221"/>
      <c r="E3" s="221"/>
      <c r="F3" s="176"/>
      <c r="G3" s="176"/>
      <c r="H3" s="176"/>
      <c r="I3" s="176"/>
      <c r="J3" s="176"/>
      <c r="K3" s="177"/>
      <c r="L3" s="181"/>
      <c r="M3" s="182"/>
      <c r="N3" s="181"/>
      <c r="O3" s="183"/>
      <c r="P3" s="184"/>
      <c r="Q3" s="181"/>
      <c r="R3" s="184"/>
      <c r="S3" s="181"/>
      <c r="T3" s="183"/>
      <c r="U3" s="183"/>
      <c r="V3" s="183"/>
      <c r="W3" s="181"/>
      <c r="X3" s="181"/>
    </row>
    <row r="4" spans="1:24" s="174" customFormat="1" ht="12">
      <c r="A4" s="221" t="s">
        <v>358</v>
      </c>
      <c r="B4" s="221"/>
      <c r="C4" s="221"/>
      <c r="D4" s="221"/>
      <c r="E4" s="221"/>
      <c r="F4" s="176"/>
      <c r="G4" s="176"/>
      <c r="H4" s="176"/>
      <c r="I4" s="176"/>
      <c r="J4" s="176"/>
      <c r="K4" s="177"/>
      <c r="L4" s="181"/>
      <c r="M4" s="182"/>
      <c r="N4" s="181"/>
      <c r="O4" s="183"/>
      <c r="P4" s="184"/>
      <c r="Q4" s="181"/>
      <c r="R4" s="184"/>
      <c r="S4" s="181"/>
      <c r="T4" s="183"/>
      <c r="U4" s="183"/>
      <c r="V4" s="183"/>
      <c r="W4" s="181"/>
      <c r="X4" s="181"/>
    </row>
    <row r="5" spans="1:24" s="174" customFormat="1" ht="18.75" customHeight="1">
      <c r="A5" s="222" t="s">
        <v>339</v>
      </c>
      <c r="B5" s="222"/>
      <c r="C5" s="222"/>
      <c r="D5" s="222"/>
      <c r="E5" s="222"/>
      <c r="F5" s="178"/>
      <c r="G5" s="178"/>
      <c r="H5" s="178"/>
      <c r="I5" s="178"/>
      <c r="J5" s="178"/>
      <c r="K5" s="179"/>
      <c r="L5" s="181"/>
      <c r="M5" s="182"/>
      <c r="N5" s="181"/>
      <c r="O5" s="183"/>
      <c r="P5" s="184"/>
      <c r="Q5" s="181"/>
      <c r="R5" s="184"/>
      <c r="S5" s="181"/>
      <c r="T5" s="183"/>
      <c r="U5" s="183"/>
      <c r="V5" s="183"/>
      <c r="W5" s="181"/>
      <c r="X5" s="181"/>
    </row>
    <row r="6" spans="1:24" s="185" customFormat="1">
      <c r="A6" s="190" t="s">
        <v>340</v>
      </c>
      <c r="B6" s="224"/>
      <c r="C6" s="224"/>
      <c r="D6" s="224"/>
      <c r="E6" s="224"/>
      <c r="K6" s="186"/>
      <c r="M6" s="187"/>
      <c r="O6" s="188"/>
      <c r="P6" s="189"/>
      <c r="R6" s="189"/>
      <c r="T6" s="188"/>
      <c r="U6" s="188"/>
      <c r="V6" s="188"/>
    </row>
    <row r="7" spans="1:24" s="185" customFormat="1">
      <c r="A7" s="190" t="s">
        <v>341</v>
      </c>
      <c r="B7" s="224"/>
      <c r="C7" s="224"/>
      <c r="D7" s="224"/>
      <c r="E7" s="224"/>
      <c r="K7" s="186"/>
      <c r="M7" s="187"/>
      <c r="O7" s="188"/>
      <c r="P7" s="189"/>
      <c r="R7" s="189"/>
      <c r="T7" s="188"/>
      <c r="U7" s="188"/>
      <c r="V7" s="188"/>
    </row>
    <row r="8" spans="1:24" s="185" customFormat="1">
      <c r="A8" s="190" t="s">
        <v>342</v>
      </c>
      <c r="B8" s="224"/>
      <c r="C8" s="224"/>
      <c r="D8" s="224"/>
      <c r="E8" s="224"/>
      <c r="K8" s="186"/>
      <c r="M8" s="187"/>
      <c r="O8" s="188"/>
      <c r="P8" s="189"/>
      <c r="R8" s="189"/>
      <c r="T8" s="188"/>
      <c r="U8" s="188"/>
      <c r="V8" s="188"/>
    </row>
    <row r="9" spans="1:24" s="185" customFormat="1">
      <c r="A9" s="190" t="s">
        <v>343</v>
      </c>
      <c r="B9" s="224"/>
      <c r="C9" s="224"/>
      <c r="D9" s="224"/>
      <c r="E9" s="224"/>
      <c r="K9" s="186"/>
      <c r="M9" s="187"/>
      <c r="O9" s="188"/>
      <c r="P9" s="189"/>
      <c r="R9" s="189"/>
      <c r="T9" s="188"/>
      <c r="U9" s="188"/>
      <c r="V9" s="188"/>
    </row>
    <row r="10" spans="1:24" s="185" customFormat="1">
      <c r="A10" s="190" t="s">
        <v>344</v>
      </c>
      <c r="B10" s="224"/>
      <c r="C10" s="224"/>
      <c r="D10" s="224"/>
      <c r="E10" s="224"/>
      <c r="K10" s="186"/>
      <c r="M10" s="187"/>
      <c r="O10" s="188"/>
      <c r="P10" s="189"/>
      <c r="R10" s="189"/>
      <c r="T10" s="188"/>
      <c r="U10" s="188"/>
      <c r="V10" s="188"/>
    </row>
    <row r="11" spans="1:24" ht="27.75" customHeight="1">
      <c r="A11" s="192" t="s">
        <v>312</v>
      </c>
      <c r="B11" s="225" t="s">
        <v>335</v>
      </c>
      <c r="C11" s="225"/>
      <c r="D11" s="235" t="s">
        <v>366</v>
      </c>
      <c r="E11" s="171" t="s">
        <v>349</v>
      </c>
    </row>
    <row r="12" spans="1:24" ht="15.75">
      <c r="A12" s="192" t="s">
        <v>354</v>
      </c>
      <c r="B12" s="226">
        <v>61200</v>
      </c>
      <c r="C12" s="227"/>
      <c r="D12" s="236"/>
      <c r="E12" s="59"/>
    </row>
    <row r="13" spans="1:24" ht="15.75">
      <c r="A13" s="163"/>
      <c r="B13" s="164"/>
    </row>
    <row r="14" spans="1:24" ht="15.75">
      <c r="A14" s="163"/>
      <c r="B14" s="164"/>
    </row>
    <row r="15" spans="1:24" ht="15.75">
      <c r="A15" s="163"/>
      <c r="B15" s="164"/>
    </row>
    <row r="16" spans="1:24" ht="15.75">
      <c r="A16" s="163"/>
      <c r="B16" s="164"/>
    </row>
    <row r="17" spans="1:2" ht="15.75">
      <c r="A17" s="163"/>
      <c r="B17" s="164"/>
    </row>
    <row r="18" spans="1:2" ht="15.75">
      <c r="A18" s="163"/>
      <c r="B18" s="164"/>
    </row>
    <row r="19" spans="1:2" ht="15.75">
      <c r="A19" s="163"/>
      <c r="B19" s="164"/>
    </row>
    <row r="20" spans="1:2" ht="15.75">
      <c r="A20" s="163"/>
      <c r="B20" s="164"/>
    </row>
    <row r="21" spans="1:2" ht="15.75">
      <c r="A21" s="163"/>
      <c r="B21" s="164"/>
    </row>
    <row r="22" spans="1:2" ht="15.75">
      <c r="A22" s="163"/>
      <c r="B22" s="164"/>
    </row>
    <row r="23" spans="1:2" ht="15.75">
      <c r="A23" s="163"/>
      <c r="B23" s="164"/>
    </row>
    <row r="24" spans="1:2" ht="15.75">
      <c r="A24" s="163"/>
      <c r="B24" s="164"/>
    </row>
    <row r="25" spans="1:2" ht="15.75">
      <c r="A25" s="163"/>
      <c r="B25" s="164"/>
    </row>
    <row r="26" spans="1:2" ht="15.75">
      <c r="A26" s="163"/>
      <c r="B26" s="164"/>
    </row>
    <row r="27" spans="1:2" ht="15" customHeight="1">
      <c r="A27" s="163"/>
      <c r="B27" s="164"/>
    </row>
    <row r="28" spans="1:2" ht="15.75">
      <c r="A28" s="163"/>
      <c r="B28" s="164"/>
    </row>
    <row r="29" spans="1:2" ht="15.75">
      <c r="A29" s="163"/>
      <c r="B29" s="164"/>
    </row>
    <row r="30" spans="1:2" ht="15.75">
      <c r="A30" s="163"/>
      <c r="B30" s="164"/>
    </row>
    <row r="31" spans="1:2" ht="15.75">
      <c r="A31" s="163"/>
      <c r="B31" s="164"/>
    </row>
    <row r="32" spans="1:2" ht="15.75">
      <c r="A32" s="163"/>
      <c r="B32" s="164"/>
    </row>
    <row r="33" spans="1:2" ht="15" customHeight="1">
      <c r="A33" s="163"/>
      <c r="B33" s="164"/>
    </row>
    <row r="34" spans="1:2" ht="15.75">
      <c r="A34" s="163"/>
      <c r="B34" s="164"/>
    </row>
    <row r="35" spans="1:2" ht="15.75">
      <c r="A35" s="163"/>
      <c r="B35" s="164"/>
    </row>
    <row r="36" spans="1:2" ht="15.75">
      <c r="A36" s="163"/>
      <c r="B36" s="164"/>
    </row>
    <row r="37" spans="1:2" ht="15.75">
      <c r="A37" s="163"/>
      <c r="B37" s="164"/>
    </row>
    <row r="38" spans="1:2" ht="15.75">
      <c r="A38" s="163"/>
      <c r="B38" s="164"/>
    </row>
    <row r="39" spans="1:2" ht="15.75">
      <c r="A39" s="163"/>
      <c r="B39" s="164"/>
    </row>
    <row r="40" spans="1:2" ht="15.75">
      <c r="A40" s="163"/>
      <c r="B40" s="164"/>
    </row>
    <row r="41" spans="1:2" ht="15.75">
      <c r="A41" s="163"/>
      <c r="B41" s="164"/>
    </row>
    <row r="42" spans="1:2" ht="15.75">
      <c r="A42" s="163"/>
      <c r="B42" s="164"/>
    </row>
    <row r="43" spans="1:2" ht="15.75">
      <c r="A43" s="163"/>
      <c r="B43" s="164"/>
    </row>
    <row r="44" spans="1:2" ht="15.75">
      <c r="A44" s="163"/>
      <c r="B44" s="164"/>
    </row>
    <row r="45" spans="1:2" ht="15.75">
      <c r="A45" s="163"/>
      <c r="B45" s="164"/>
    </row>
    <row r="46" spans="1:2" ht="15.75">
      <c r="A46" s="163"/>
      <c r="B46" s="164"/>
    </row>
    <row r="47" spans="1:2" ht="15.75">
      <c r="A47" s="163"/>
      <c r="B47" s="164"/>
    </row>
    <row r="48" spans="1:2" ht="15.75">
      <c r="A48" s="163"/>
      <c r="B48" s="164"/>
    </row>
    <row r="49" spans="1:2" ht="15.75">
      <c r="A49" s="163"/>
      <c r="B49" s="164"/>
    </row>
    <row r="50" spans="1:2" ht="15.75" customHeight="1">
      <c r="A50" s="163"/>
      <c r="B50" s="164"/>
    </row>
    <row r="51" spans="1:2" ht="15.75">
      <c r="A51" s="163"/>
      <c r="B51" s="164"/>
    </row>
    <row r="52" spans="1:2" ht="15.75">
      <c r="A52" s="163"/>
      <c r="B52" s="164"/>
    </row>
    <row r="53" spans="1:2" ht="15.75">
      <c r="A53" s="168" t="s">
        <v>328</v>
      </c>
      <c r="B53" s="168"/>
    </row>
    <row r="54" spans="1:2" ht="15.75">
      <c r="A54" s="228" t="s">
        <v>329</v>
      </c>
      <c r="B54" s="228"/>
    </row>
    <row r="55" spans="1:2" ht="15.75">
      <c r="A55" s="228" t="s">
        <v>330</v>
      </c>
      <c r="B55" s="228"/>
    </row>
    <row r="56" spans="1:2" ht="15.75">
      <c r="A56" s="163"/>
      <c r="B56" s="169"/>
    </row>
    <row r="57" spans="1:2" ht="15" customHeight="1">
      <c r="A57" s="163"/>
      <c r="B57" s="169"/>
    </row>
    <row r="58" spans="1:2" ht="15.75">
      <c r="A58" s="169" t="s">
        <v>331</v>
      </c>
      <c r="B58" s="169"/>
    </row>
    <row r="59" spans="1:2" ht="15.75">
      <c r="A59" s="169" t="s">
        <v>332</v>
      </c>
      <c r="B59" s="164"/>
    </row>
    <row r="60" spans="1:2" ht="15.75">
      <c r="A60" s="169" t="s">
        <v>333</v>
      </c>
      <c r="B60" s="164"/>
    </row>
    <row r="61" spans="1:2" ht="15.75">
      <c r="A61" s="169" t="s">
        <v>334</v>
      </c>
      <c r="B61" s="164"/>
    </row>
    <row r="62" spans="1:2" ht="15.75">
      <c r="A62" s="163"/>
      <c r="B62" s="164"/>
    </row>
    <row r="63" spans="1:2" ht="15" customHeight="1">
      <c r="A63" s="163"/>
      <c r="B63" s="170"/>
    </row>
    <row r="64" spans="1:2" ht="15.75">
      <c r="A64" s="163"/>
      <c r="B64" s="170"/>
    </row>
    <row r="65" spans="1:2" ht="15.75">
      <c r="A65" s="163"/>
      <c r="B65" s="164"/>
    </row>
    <row r="66" spans="1:2" ht="15.75">
      <c r="A66" s="163"/>
      <c r="B66" s="164"/>
    </row>
    <row r="67" spans="1:2" ht="15.75">
      <c r="A67" s="163"/>
      <c r="B67" s="164"/>
    </row>
  </sheetData>
  <mergeCells count="14">
    <mergeCell ref="A54:B54"/>
    <mergeCell ref="A55:B55"/>
    <mergeCell ref="B12:C12"/>
    <mergeCell ref="A1:E1"/>
    <mergeCell ref="A2:E2"/>
    <mergeCell ref="A3:E3"/>
    <mergeCell ref="A4:E4"/>
    <mergeCell ref="A5:E5"/>
    <mergeCell ref="B6:E6"/>
    <mergeCell ref="B7:E7"/>
    <mergeCell ref="B8:E8"/>
    <mergeCell ref="B9:E9"/>
    <mergeCell ref="B10:E10"/>
    <mergeCell ref="B11:C11"/>
  </mergeCells>
  <conditionalFormatting sqref="B6:B10">
    <cfRule type="duplicateValues" dxfId="2" priority="1"/>
  </conditionalFormatting>
  <pageMargins left="0.7" right="0.7" top="0.75" bottom="0.75" header="0.3" footer="0.3"/>
  <pageSetup scale="4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A4" zoomScale="85" zoomScaleNormal="85" zoomScaleSheetLayoutView="70" workbookViewId="0">
      <selection activeCell="K16" sqref="K16"/>
    </sheetView>
  </sheetViews>
  <sheetFormatPr baseColWidth="10" defaultRowHeight="15"/>
  <cols>
    <col min="1" max="1" width="42.85546875" customWidth="1"/>
    <col min="2" max="2" width="59.85546875" customWidth="1"/>
    <col min="3" max="3" width="25" customWidth="1"/>
    <col min="4" max="4" width="24.7109375" customWidth="1"/>
    <col min="5" max="5" width="22.5703125" customWidth="1"/>
  </cols>
  <sheetData>
    <row r="1" spans="1:24" s="174" customFormat="1" ht="11.25" customHeight="1">
      <c r="A1" s="221" t="s">
        <v>336</v>
      </c>
      <c r="B1" s="221"/>
      <c r="C1" s="221"/>
      <c r="D1" s="221"/>
      <c r="E1" s="221"/>
      <c r="F1" s="176"/>
      <c r="G1" s="176"/>
      <c r="H1" s="176"/>
      <c r="I1" s="176"/>
      <c r="J1" s="176"/>
      <c r="K1" s="177"/>
      <c r="L1" s="175"/>
      <c r="M1" s="172"/>
      <c r="N1" s="175"/>
      <c r="O1" s="173"/>
      <c r="P1" s="180"/>
      <c r="Q1" s="175"/>
      <c r="R1" s="180"/>
      <c r="S1" s="175"/>
      <c r="T1" s="173"/>
      <c r="U1" s="173"/>
      <c r="V1" s="173"/>
      <c r="W1" s="175"/>
      <c r="X1" s="175"/>
    </row>
    <row r="2" spans="1:24" s="174" customFormat="1" ht="28.5" customHeight="1">
      <c r="A2" s="221" t="s">
        <v>337</v>
      </c>
      <c r="B2" s="221"/>
      <c r="C2" s="221"/>
      <c r="D2" s="221"/>
      <c r="E2" s="221"/>
      <c r="F2" s="176"/>
      <c r="G2" s="176"/>
      <c r="H2" s="176"/>
      <c r="I2" s="176"/>
      <c r="J2" s="176"/>
      <c r="K2" s="177"/>
      <c r="L2" s="175"/>
      <c r="M2" s="172"/>
      <c r="N2" s="175"/>
      <c r="O2" s="173"/>
      <c r="P2" s="180"/>
      <c r="Q2" s="175"/>
      <c r="R2" s="180"/>
      <c r="S2" s="175"/>
      <c r="T2" s="173"/>
      <c r="U2" s="173"/>
      <c r="V2" s="173"/>
      <c r="W2" s="175"/>
      <c r="X2" s="175"/>
    </row>
    <row r="3" spans="1:24" s="174" customFormat="1" ht="12.75" customHeight="1">
      <c r="A3" s="221" t="s">
        <v>338</v>
      </c>
      <c r="B3" s="221"/>
      <c r="C3" s="221"/>
      <c r="D3" s="221"/>
      <c r="E3" s="221"/>
      <c r="F3" s="176"/>
      <c r="G3" s="176"/>
      <c r="H3" s="176"/>
      <c r="I3" s="176"/>
      <c r="J3" s="176"/>
      <c r="K3" s="177"/>
      <c r="L3" s="181"/>
      <c r="M3" s="182"/>
      <c r="N3" s="181"/>
      <c r="O3" s="183"/>
      <c r="P3" s="184"/>
      <c r="Q3" s="181"/>
      <c r="R3" s="184"/>
      <c r="S3" s="181"/>
      <c r="T3" s="183"/>
      <c r="U3" s="183"/>
      <c r="V3" s="183"/>
      <c r="W3" s="181"/>
      <c r="X3" s="181"/>
    </row>
    <row r="4" spans="1:24" s="174" customFormat="1" ht="18" customHeight="1">
      <c r="A4" s="221" t="s">
        <v>357</v>
      </c>
      <c r="B4" s="221"/>
      <c r="C4" s="221"/>
      <c r="D4" s="221"/>
      <c r="E4" s="221"/>
      <c r="F4" s="176"/>
      <c r="G4" s="176"/>
      <c r="H4" s="176"/>
      <c r="I4" s="176"/>
      <c r="J4" s="176"/>
      <c r="K4" s="177"/>
      <c r="L4" s="181"/>
      <c r="M4" s="182"/>
      <c r="N4" s="181"/>
      <c r="O4" s="183"/>
      <c r="P4" s="184"/>
      <c r="Q4" s="181"/>
      <c r="R4" s="184"/>
      <c r="S4" s="181"/>
      <c r="T4" s="183"/>
      <c r="U4" s="183"/>
      <c r="V4" s="183"/>
      <c r="W4" s="181"/>
      <c r="X4" s="181"/>
    </row>
    <row r="5" spans="1:24" s="174" customFormat="1" ht="15.75" customHeight="1">
      <c r="A5" s="222" t="s">
        <v>339</v>
      </c>
      <c r="B5" s="222"/>
      <c r="C5" s="222"/>
      <c r="D5" s="222"/>
      <c r="E5" s="222"/>
      <c r="F5" s="178"/>
      <c r="G5" s="178"/>
      <c r="H5" s="178"/>
      <c r="I5" s="178"/>
      <c r="J5" s="178"/>
      <c r="K5" s="179"/>
      <c r="L5" s="181"/>
      <c r="M5" s="182"/>
      <c r="N5" s="181"/>
      <c r="O5" s="183"/>
      <c r="P5" s="184"/>
      <c r="Q5" s="181"/>
      <c r="R5" s="184"/>
      <c r="S5" s="181"/>
      <c r="T5" s="183"/>
      <c r="U5" s="183"/>
      <c r="V5" s="183"/>
      <c r="W5" s="181"/>
      <c r="X5" s="181"/>
    </row>
    <row r="6" spans="1:24" s="185" customFormat="1">
      <c r="A6" s="190" t="s">
        <v>340</v>
      </c>
      <c r="B6" s="224"/>
      <c r="C6" s="224"/>
      <c r="D6" s="224"/>
      <c r="E6" s="224"/>
      <c r="K6" s="186"/>
      <c r="M6" s="187"/>
      <c r="O6" s="188"/>
      <c r="P6" s="189"/>
      <c r="R6" s="189"/>
      <c r="T6" s="188"/>
      <c r="U6" s="188"/>
      <c r="V6" s="188"/>
    </row>
    <row r="7" spans="1:24" s="185" customFormat="1">
      <c r="A7" s="190" t="s">
        <v>341</v>
      </c>
      <c r="B7" s="224"/>
      <c r="C7" s="224"/>
      <c r="D7" s="224"/>
      <c r="E7" s="224"/>
      <c r="K7" s="186"/>
      <c r="M7" s="187"/>
      <c r="O7" s="188"/>
      <c r="P7" s="189"/>
      <c r="R7" s="189"/>
      <c r="T7" s="188"/>
      <c r="U7" s="188"/>
      <c r="V7" s="188"/>
    </row>
    <row r="8" spans="1:24" s="185" customFormat="1">
      <c r="A8" s="190" t="s">
        <v>342</v>
      </c>
      <c r="B8" s="224"/>
      <c r="C8" s="224"/>
      <c r="D8" s="224"/>
      <c r="E8" s="224"/>
      <c r="K8" s="186"/>
      <c r="M8" s="187"/>
      <c r="O8" s="188"/>
      <c r="P8" s="189"/>
      <c r="R8" s="189"/>
      <c r="T8" s="188"/>
      <c r="U8" s="188"/>
      <c r="V8" s="188"/>
    </row>
    <row r="9" spans="1:24" s="185" customFormat="1">
      <c r="A9" s="190" t="s">
        <v>343</v>
      </c>
      <c r="B9" s="224"/>
      <c r="C9" s="224"/>
      <c r="D9" s="224"/>
      <c r="E9" s="224"/>
      <c r="K9" s="186"/>
      <c r="M9" s="187"/>
      <c r="O9" s="188"/>
      <c r="P9" s="189"/>
      <c r="R9" s="189"/>
      <c r="T9" s="188"/>
      <c r="U9" s="188"/>
      <c r="V9" s="188"/>
    </row>
    <row r="10" spans="1:24" s="185" customFormat="1">
      <c r="A10" s="190" t="s">
        <v>344</v>
      </c>
      <c r="B10" s="224"/>
      <c r="C10" s="224"/>
      <c r="D10" s="224"/>
      <c r="E10" s="224"/>
      <c r="K10" s="186"/>
      <c r="M10" s="187"/>
      <c r="O10" s="188"/>
      <c r="P10" s="189"/>
      <c r="R10" s="189"/>
      <c r="T10" s="188"/>
      <c r="U10" s="188"/>
      <c r="V10" s="188"/>
    </row>
    <row r="11" spans="1:24" ht="32.25" customHeight="1">
      <c r="A11" s="171" t="s">
        <v>367</v>
      </c>
      <c r="B11" s="191" t="s">
        <v>368</v>
      </c>
      <c r="C11" s="191" t="s">
        <v>335</v>
      </c>
      <c r="D11" s="238" t="s">
        <v>366</v>
      </c>
      <c r="E11" s="202" t="s">
        <v>349</v>
      </c>
    </row>
    <row r="12" spans="1:24" ht="30">
      <c r="A12" s="203" t="s">
        <v>314</v>
      </c>
      <c r="B12" s="203" t="s">
        <v>315</v>
      </c>
      <c r="C12" s="193">
        <f>15*20+100</f>
        <v>400</v>
      </c>
      <c r="D12" s="239"/>
      <c r="E12" s="237">
        <f>D12*C12</f>
        <v>0</v>
      </c>
    </row>
    <row r="13" spans="1:24" ht="37.5" customHeight="1">
      <c r="A13" s="204" t="s">
        <v>316</v>
      </c>
      <c r="B13" s="204" t="s">
        <v>317</v>
      </c>
      <c r="C13" s="193">
        <f>20*52</f>
        <v>1040</v>
      </c>
      <c r="D13" s="240"/>
      <c r="E13" s="237">
        <f t="shared" ref="E13:E18" si="0">D13*C13</f>
        <v>0</v>
      </c>
    </row>
    <row r="14" spans="1:24" ht="45">
      <c r="A14" s="203" t="s">
        <v>318</v>
      </c>
      <c r="B14" s="203" t="s">
        <v>319</v>
      </c>
      <c r="C14" s="193">
        <f>5*12</f>
        <v>60</v>
      </c>
      <c r="D14" s="239"/>
      <c r="E14" s="237">
        <f t="shared" si="0"/>
        <v>0</v>
      </c>
    </row>
    <row r="15" spans="1:24" ht="60">
      <c r="A15" s="203" t="s">
        <v>320</v>
      </c>
      <c r="B15" s="203" t="s">
        <v>321</v>
      </c>
      <c r="C15" s="193">
        <v>120</v>
      </c>
      <c r="D15" s="239"/>
      <c r="E15" s="237">
        <f t="shared" si="0"/>
        <v>0</v>
      </c>
    </row>
    <row r="16" spans="1:24" ht="75">
      <c r="A16" s="203" t="s">
        <v>322</v>
      </c>
      <c r="B16" s="203" t="s">
        <v>323</v>
      </c>
      <c r="C16" s="193">
        <f>10*12</f>
        <v>120</v>
      </c>
      <c r="D16" s="239"/>
      <c r="E16" s="237">
        <f t="shared" si="0"/>
        <v>0</v>
      </c>
    </row>
    <row r="17" spans="1:5" ht="15.75">
      <c r="A17" s="203" t="s">
        <v>324</v>
      </c>
      <c r="B17" s="203" t="s">
        <v>325</v>
      </c>
      <c r="C17" s="193">
        <v>10</v>
      </c>
      <c r="D17" s="239"/>
      <c r="E17" s="237">
        <f t="shared" si="0"/>
        <v>0</v>
      </c>
    </row>
    <row r="18" spans="1:5" ht="30">
      <c r="A18" s="203" t="s">
        <v>326</v>
      </c>
      <c r="B18" s="203" t="s">
        <v>327</v>
      </c>
      <c r="C18" s="193">
        <v>20</v>
      </c>
      <c r="D18" s="239"/>
      <c r="E18" s="237">
        <f t="shared" si="0"/>
        <v>0</v>
      </c>
    </row>
  </sheetData>
  <mergeCells count="10">
    <mergeCell ref="A1:E1"/>
    <mergeCell ref="A2:E2"/>
    <mergeCell ref="A3:E3"/>
    <mergeCell ref="A4:E4"/>
    <mergeCell ref="A5:E5"/>
    <mergeCell ref="B6:E6"/>
    <mergeCell ref="B7:E7"/>
    <mergeCell ref="B8:E8"/>
    <mergeCell ref="B9:E9"/>
    <mergeCell ref="B10:E10"/>
  </mergeCells>
  <conditionalFormatting sqref="B6:B10">
    <cfRule type="duplicateValues" dxfId="1" priority="1"/>
  </conditionalFormatting>
  <pageMargins left="0.7" right="0.7" top="0.75" bottom="0.75" header="0.3" footer="0.3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="120" zoomScaleNormal="120" zoomScaleSheetLayoutView="120" workbookViewId="0">
      <selection activeCell="F21" sqref="F21"/>
    </sheetView>
  </sheetViews>
  <sheetFormatPr baseColWidth="10" defaultRowHeight="15"/>
  <cols>
    <col min="1" max="1" width="38.5703125" customWidth="1"/>
    <col min="2" max="2" width="13.28515625" bestFit="1" customWidth="1"/>
  </cols>
  <sheetData>
    <row r="1" spans="1:23" s="174" customFormat="1" ht="11.25" customHeight="1">
      <c r="A1" s="221" t="s">
        <v>336</v>
      </c>
      <c r="B1" s="221"/>
      <c r="C1" s="221"/>
      <c r="D1" s="221"/>
      <c r="E1" s="176"/>
      <c r="F1" s="176"/>
      <c r="G1" s="176"/>
      <c r="H1" s="176"/>
      <c r="I1" s="176"/>
      <c r="J1" s="177"/>
      <c r="K1" s="175"/>
      <c r="L1" s="172"/>
      <c r="M1" s="175"/>
      <c r="N1" s="173"/>
      <c r="O1" s="180"/>
      <c r="P1" s="175"/>
      <c r="Q1" s="180"/>
      <c r="R1" s="175"/>
      <c r="S1" s="173"/>
      <c r="T1" s="173"/>
      <c r="U1" s="173"/>
      <c r="V1" s="175"/>
      <c r="W1" s="175"/>
    </row>
    <row r="2" spans="1:23" s="174" customFormat="1" ht="12">
      <c r="A2" s="221" t="s">
        <v>337</v>
      </c>
      <c r="B2" s="221"/>
      <c r="C2" s="221"/>
      <c r="D2" s="221"/>
      <c r="E2" s="176"/>
      <c r="F2" s="176"/>
      <c r="G2" s="176"/>
      <c r="H2" s="176"/>
      <c r="I2" s="176"/>
      <c r="J2" s="177"/>
      <c r="K2" s="175"/>
      <c r="L2" s="172"/>
      <c r="M2" s="175"/>
      <c r="N2" s="173"/>
      <c r="O2" s="180"/>
      <c r="P2" s="175"/>
      <c r="Q2" s="180"/>
      <c r="R2" s="175"/>
      <c r="S2" s="173"/>
      <c r="T2" s="173"/>
      <c r="U2" s="173"/>
      <c r="V2" s="175"/>
      <c r="W2" s="175"/>
    </row>
    <row r="3" spans="1:23" s="174" customFormat="1" ht="12">
      <c r="A3" s="221" t="s">
        <v>338</v>
      </c>
      <c r="B3" s="221"/>
      <c r="C3" s="221"/>
      <c r="D3" s="221"/>
      <c r="E3" s="176"/>
      <c r="F3" s="176"/>
      <c r="G3" s="176"/>
      <c r="H3" s="176"/>
      <c r="I3" s="176"/>
      <c r="J3" s="177"/>
      <c r="K3" s="181"/>
      <c r="L3" s="182"/>
      <c r="M3" s="181"/>
      <c r="N3" s="183"/>
      <c r="O3" s="184"/>
      <c r="P3" s="181"/>
      <c r="Q3" s="184"/>
      <c r="R3" s="181"/>
      <c r="S3" s="183"/>
      <c r="T3" s="183"/>
      <c r="U3" s="183"/>
      <c r="V3" s="181"/>
      <c r="W3" s="181"/>
    </row>
    <row r="4" spans="1:23" s="174" customFormat="1" ht="12">
      <c r="A4" s="221" t="s">
        <v>358</v>
      </c>
      <c r="B4" s="221"/>
      <c r="C4" s="221"/>
      <c r="D4" s="221"/>
      <c r="E4" s="176"/>
      <c r="F4" s="176"/>
      <c r="G4" s="176"/>
      <c r="H4" s="176"/>
      <c r="I4" s="176"/>
      <c r="J4" s="177"/>
      <c r="K4" s="181"/>
      <c r="L4" s="182"/>
      <c r="M4" s="181"/>
      <c r="N4" s="183"/>
      <c r="O4" s="184"/>
      <c r="P4" s="181"/>
      <c r="Q4" s="184"/>
      <c r="R4" s="181"/>
      <c r="S4" s="183"/>
      <c r="T4" s="183"/>
      <c r="U4" s="183"/>
      <c r="V4" s="181"/>
      <c r="W4" s="181"/>
    </row>
    <row r="5" spans="1:23" s="174" customFormat="1" ht="18.75" customHeight="1">
      <c r="A5" s="222" t="s">
        <v>339</v>
      </c>
      <c r="B5" s="222"/>
      <c r="C5" s="222"/>
      <c r="D5" s="222"/>
      <c r="E5" s="178"/>
      <c r="F5" s="178"/>
      <c r="G5" s="178"/>
      <c r="H5" s="178"/>
      <c r="I5" s="178"/>
      <c r="J5" s="179"/>
      <c r="K5" s="181"/>
      <c r="L5" s="182"/>
      <c r="M5" s="181"/>
      <c r="N5" s="183"/>
      <c r="O5" s="184"/>
      <c r="P5" s="181"/>
      <c r="Q5" s="184"/>
      <c r="R5" s="181"/>
      <c r="S5" s="183"/>
      <c r="T5" s="183"/>
      <c r="U5" s="183"/>
      <c r="V5" s="181"/>
      <c r="W5" s="181"/>
    </row>
    <row r="6" spans="1:23" s="185" customFormat="1">
      <c r="A6" s="190" t="s">
        <v>340</v>
      </c>
      <c r="B6" s="224"/>
      <c r="C6" s="224"/>
      <c r="D6" s="224"/>
      <c r="J6" s="186"/>
      <c r="L6" s="187"/>
      <c r="N6" s="188"/>
      <c r="O6" s="189"/>
      <c r="Q6" s="189"/>
      <c r="S6" s="188"/>
      <c r="T6" s="188"/>
      <c r="U6" s="188"/>
    </row>
    <row r="7" spans="1:23" s="185" customFormat="1">
      <c r="A7" s="190" t="s">
        <v>341</v>
      </c>
      <c r="B7" s="224"/>
      <c r="C7" s="224"/>
      <c r="D7" s="224"/>
      <c r="J7" s="186"/>
      <c r="L7" s="187"/>
      <c r="N7" s="188"/>
      <c r="O7" s="189"/>
      <c r="Q7" s="189"/>
      <c r="S7" s="188"/>
      <c r="T7" s="188"/>
      <c r="U7" s="188"/>
    </row>
    <row r="8" spans="1:23" s="185" customFormat="1">
      <c r="A8" s="190" t="s">
        <v>342</v>
      </c>
      <c r="B8" s="224"/>
      <c r="C8" s="224"/>
      <c r="D8" s="224"/>
      <c r="J8" s="186"/>
      <c r="L8" s="187"/>
      <c r="N8" s="188"/>
      <c r="O8" s="189"/>
      <c r="Q8" s="189"/>
      <c r="S8" s="188"/>
      <c r="T8" s="188"/>
      <c r="U8" s="188"/>
    </row>
    <row r="9" spans="1:23" s="185" customFormat="1">
      <c r="A9" s="190" t="s">
        <v>343</v>
      </c>
      <c r="B9" s="224"/>
      <c r="C9" s="224"/>
      <c r="D9" s="224"/>
      <c r="J9" s="186"/>
      <c r="L9" s="187"/>
      <c r="N9" s="188"/>
      <c r="O9" s="189"/>
      <c r="Q9" s="189"/>
      <c r="S9" s="188"/>
      <c r="T9" s="188"/>
      <c r="U9" s="188"/>
    </row>
    <row r="10" spans="1:23" s="185" customFormat="1">
      <c r="A10" s="190" t="s">
        <v>344</v>
      </c>
      <c r="B10" s="224"/>
      <c r="C10" s="224"/>
      <c r="D10" s="224"/>
      <c r="J10" s="186"/>
      <c r="L10" s="187"/>
      <c r="N10" s="188"/>
      <c r="O10" s="189"/>
      <c r="Q10" s="189"/>
      <c r="S10" s="188"/>
      <c r="T10" s="188"/>
      <c r="U10" s="188"/>
    </row>
    <row r="11" spans="1:23" ht="15" customHeight="1">
      <c r="A11" s="230" t="s">
        <v>359</v>
      </c>
      <c r="B11" s="230"/>
      <c r="C11" s="230"/>
      <c r="D11" s="230"/>
    </row>
    <row r="12" spans="1:23" ht="27" customHeight="1">
      <c r="A12" s="231" t="s">
        <v>313</v>
      </c>
      <c r="B12" s="231"/>
      <c r="C12" s="231"/>
      <c r="D12" s="231"/>
    </row>
    <row r="13" spans="1:23" ht="15.75">
      <c r="A13" s="232" t="s">
        <v>311</v>
      </c>
      <c r="B13" s="232"/>
      <c r="C13" s="232"/>
      <c r="D13" s="241" t="s">
        <v>285</v>
      </c>
    </row>
    <row r="14" spans="1:23" ht="15.75">
      <c r="A14" s="229" t="s">
        <v>108</v>
      </c>
      <c r="B14" s="229"/>
      <c r="C14" s="229"/>
      <c r="D14" s="242"/>
    </row>
    <row r="15" spans="1:23" ht="15.75">
      <c r="A15" s="229" t="s">
        <v>107</v>
      </c>
      <c r="B15" s="229"/>
      <c r="C15" s="229"/>
      <c r="D15" s="242"/>
    </row>
    <row r="16" spans="1:23" ht="15.75">
      <c r="A16" s="229" t="s">
        <v>287</v>
      </c>
      <c r="B16" s="229"/>
      <c r="C16" s="229"/>
      <c r="D16" s="242"/>
    </row>
    <row r="17" spans="1:4" ht="15.75">
      <c r="A17" s="229" t="s">
        <v>288</v>
      </c>
      <c r="B17" s="229"/>
      <c r="C17" s="229"/>
      <c r="D17" s="242"/>
    </row>
    <row r="18" spans="1:4" ht="15.75">
      <c r="A18" s="229" t="s">
        <v>289</v>
      </c>
      <c r="B18" s="229"/>
      <c r="C18" s="229"/>
      <c r="D18" s="242"/>
    </row>
    <row r="19" spans="1:4" ht="15.75">
      <c r="A19" s="229" t="s">
        <v>295</v>
      </c>
      <c r="B19" s="229"/>
      <c r="C19" s="229"/>
      <c r="D19" s="242"/>
    </row>
    <row r="20" spans="1:4" ht="15.75">
      <c r="A20" s="229" t="s">
        <v>292</v>
      </c>
      <c r="B20" s="229"/>
      <c r="C20" s="229"/>
      <c r="D20" s="242"/>
    </row>
    <row r="21" spans="1:4" ht="15.75">
      <c r="A21" s="229" t="s">
        <v>290</v>
      </c>
      <c r="B21" s="229"/>
      <c r="C21" s="229"/>
      <c r="D21" s="242"/>
    </row>
    <row r="22" spans="1:4" ht="15.75">
      <c r="A22" s="229" t="s">
        <v>296</v>
      </c>
      <c r="B22" s="229"/>
      <c r="C22" s="229"/>
      <c r="D22" s="242"/>
    </row>
    <row r="23" spans="1:4" ht="15.75">
      <c r="A23" s="229" t="s">
        <v>293</v>
      </c>
      <c r="B23" s="229"/>
      <c r="C23" s="229"/>
      <c r="D23" s="242"/>
    </row>
    <row r="24" spans="1:4" ht="15.75">
      <c r="A24" s="229" t="s">
        <v>291</v>
      </c>
      <c r="B24" s="229"/>
      <c r="C24" s="229"/>
      <c r="D24" s="242"/>
    </row>
    <row r="25" spans="1:4" ht="15.75">
      <c r="A25" s="229" t="s">
        <v>308</v>
      </c>
      <c r="B25" s="229"/>
      <c r="C25" s="229"/>
      <c r="D25" s="242"/>
    </row>
    <row r="26" spans="1:4" ht="15.75">
      <c r="A26" s="229" t="s">
        <v>294</v>
      </c>
      <c r="B26" s="229"/>
      <c r="C26" s="229"/>
      <c r="D26" s="242"/>
    </row>
    <row r="27" spans="1:4" ht="15.75">
      <c r="A27" s="229" t="s">
        <v>309</v>
      </c>
      <c r="B27" s="229"/>
      <c r="C27" s="229"/>
      <c r="D27" s="242"/>
    </row>
    <row r="28" spans="1:4" ht="15.75">
      <c r="A28" s="229" t="s">
        <v>297</v>
      </c>
      <c r="B28" s="229"/>
      <c r="C28" s="229"/>
      <c r="D28" s="242"/>
    </row>
    <row r="29" spans="1:4" ht="15.75">
      <c r="A29" s="229" t="s">
        <v>298</v>
      </c>
      <c r="B29" s="229"/>
      <c r="C29" s="229"/>
      <c r="D29" s="242"/>
    </row>
    <row r="30" spans="1:4" ht="15.75">
      <c r="A30" s="229" t="s">
        <v>299</v>
      </c>
      <c r="B30" s="229"/>
      <c r="C30" s="229"/>
      <c r="D30" s="242"/>
    </row>
    <row r="31" spans="1:4" ht="15.75">
      <c r="A31" s="229" t="s">
        <v>300</v>
      </c>
      <c r="B31" s="229"/>
      <c r="C31" s="229"/>
      <c r="D31" s="242"/>
    </row>
    <row r="32" spans="1:4" ht="15" customHeight="1">
      <c r="A32" s="229" t="s">
        <v>301</v>
      </c>
      <c r="B32" s="229"/>
      <c r="C32" s="229"/>
      <c r="D32" s="242"/>
    </row>
    <row r="33" spans="1:4" ht="15.75">
      <c r="A33" s="229" t="s">
        <v>310</v>
      </c>
      <c r="B33" s="229"/>
      <c r="C33" s="229"/>
      <c r="D33" s="242"/>
    </row>
    <row r="34" spans="1:4" ht="15.75">
      <c r="A34" s="229" t="s">
        <v>302</v>
      </c>
      <c r="B34" s="229"/>
      <c r="C34" s="229"/>
      <c r="D34" s="242"/>
    </row>
    <row r="35" spans="1:4" ht="15.75">
      <c r="A35" s="229" t="s">
        <v>303</v>
      </c>
      <c r="B35" s="229"/>
      <c r="C35" s="229"/>
      <c r="D35" s="242"/>
    </row>
    <row r="36" spans="1:4" ht="15.75">
      <c r="A36" s="229" t="s">
        <v>304</v>
      </c>
      <c r="B36" s="229"/>
      <c r="C36" s="229"/>
      <c r="D36" s="242"/>
    </row>
    <row r="37" spans="1:4" ht="15.75">
      <c r="A37" s="229" t="s">
        <v>305</v>
      </c>
      <c r="B37" s="229"/>
      <c r="C37" s="229"/>
      <c r="D37" s="242"/>
    </row>
    <row r="38" spans="1:4" ht="15" customHeight="1">
      <c r="A38" s="229" t="s">
        <v>306</v>
      </c>
      <c r="B38" s="229"/>
      <c r="C38" s="229"/>
      <c r="D38" s="242"/>
    </row>
    <row r="39" spans="1:4" ht="15.75">
      <c r="A39" s="229" t="s">
        <v>307</v>
      </c>
      <c r="B39" s="229"/>
      <c r="C39" s="229"/>
      <c r="D39" s="242"/>
    </row>
    <row r="40" spans="1:4" ht="15.75">
      <c r="A40" s="229" t="s">
        <v>360</v>
      </c>
      <c r="B40" s="229"/>
      <c r="C40" s="229"/>
      <c r="D40" s="243"/>
    </row>
    <row r="41" spans="1:4" ht="15.75">
      <c r="A41" s="229" t="s">
        <v>361</v>
      </c>
      <c r="B41" s="229"/>
      <c r="C41" s="229"/>
      <c r="D41" s="243"/>
    </row>
    <row r="42" spans="1:4" ht="15.75">
      <c r="A42" s="229" t="s">
        <v>362</v>
      </c>
      <c r="B42" s="229"/>
      <c r="C42" s="229"/>
      <c r="D42" s="243"/>
    </row>
    <row r="43" spans="1:4" ht="15.75">
      <c r="A43" s="229" t="s">
        <v>363</v>
      </c>
      <c r="B43" s="229"/>
      <c r="C43" s="229"/>
      <c r="D43" s="243"/>
    </row>
    <row r="44" spans="1:4" ht="15.75">
      <c r="A44" s="229" t="s">
        <v>364</v>
      </c>
      <c r="B44" s="229"/>
      <c r="C44" s="229"/>
      <c r="D44" s="243"/>
    </row>
    <row r="45" spans="1:4" ht="15.75">
      <c r="A45" s="229" t="s">
        <v>365</v>
      </c>
      <c r="B45" s="229"/>
      <c r="C45" s="229"/>
      <c r="D45" s="243"/>
    </row>
    <row r="46" spans="1:4" ht="15.75">
      <c r="A46" s="163"/>
      <c r="B46" s="163"/>
      <c r="C46" s="163"/>
      <c r="D46" s="163"/>
    </row>
    <row r="47" spans="1:4" ht="15.75">
      <c r="A47" s="163"/>
      <c r="B47" s="163"/>
      <c r="C47" s="163"/>
      <c r="D47" s="163"/>
    </row>
    <row r="48" spans="1:4" ht="15.75">
      <c r="A48" s="163"/>
      <c r="B48" s="163"/>
      <c r="C48" s="163"/>
      <c r="D48" s="163"/>
    </row>
    <row r="49" spans="1:4" ht="15.75">
      <c r="A49" s="163"/>
      <c r="B49" s="163"/>
      <c r="C49" s="163"/>
      <c r="D49" s="163"/>
    </row>
    <row r="50" spans="1:4" ht="15.75">
      <c r="A50" s="163"/>
      <c r="B50" s="163"/>
      <c r="C50" s="163"/>
      <c r="D50" s="163"/>
    </row>
    <row r="51" spans="1:4" ht="15.75">
      <c r="A51" s="163"/>
      <c r="B51" s="163"/>
      <c r="C51" s="163"/>
      <c r="D51" s="163"/>
    </row>
    <row r="52" spans="1:4" ht="15.75">
      <c r="A52" s="163"/>
      <c r="B52" s="163"/>
      <c r="C52" s="163"/>
      <c r="D52" s="163"/>
    </row>
    <row r="53" spans="1:4" ht="15.75">
      <c r="A53" s="163"/>
      <c r="B53" s="163"/>
      <c r="C53" s="163"/>
      <c r="D53" s="163"/>
    </row>
    <row r="54" spans="1:4" ht="15" customHeight="1">
      <c r="A54" s="163"/>
      <c r="B54" s="163"/>
      <c r="C54" s="163"/>
      <c r="D54" s="163"/>
    </row>
    <row r="55" spans="1:4" ht="15.75">
      <c r="A55" s="163"/>
      <c r="B55" s="163"/>
      <c r="C55" s="163"/>
      <c r="D55" s="163"/>
    </row>
    <row r="56" spans="1:4" ht="15.75">
      <c r="A56" s="163"/>
      <c r="B56" s="163"/>
      <c r="C56" s="163"/>
      <c r="D56" s="163"/>
    </row>
    <row r="57" spans="1:4" ht="15.75">
      <c r="A57" s="163"/>
      <c r="B57" s="163"/>
      <c r="C57" s="163"/>
      <c r="D57" s="163"/>
    </row>
    <row r="58" spans="1:4" ht="15.75">
      <c r="A58" s="163"/>
      <c r="B58" s="163"/>
      <c r="C58" s="163"/>
      <c r="D58" s="163"/>
    </row>
  </sheetData>
  <mergeCells count="45">
    <mergeCell ref="A13:C13"/>
    <mergeCell ref="B6:D6"/>
    <mergeCell ref="B7:D7"/>
    <mergeCell ref="B8:D8"/>
    <mergeCell ref="A11:D11"/>
    <mergeCell ref="A12:D12"/>
    <mergeCell ref="B9:D9"/>
    <mergeCell ref="B10:D10"/>
    <mergeCell ref="A1:D1"/>
    <mergeCell ref="A2:D2"/>
    <mergeCell ref="A3:D3"/>
    <mergeCell ref="A4:D4"/>
    <mergeCell ref="A5:D5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44:C44"/>
    <mergeCell ref="A45:C45"/>
    <mergeCell ref="A38:C38"/>
    <mergeCell ref="A39:C39"/>
    <mergeCell ref="A40:C40"/>
    <mergeCell ref="A41:C41"/>
    <mergeCell ref="A42:C42"/>
    <mergeCell ref="A43:C43"/>
  </mergeCells>
  <conditionalFormatting sqref="B6:B10">
    <cfRule type="duplicateValues" dxfId="0" priority="1"/>
  </conditionalFormatting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PRESUPUESTO</vt:lpstr>
      <vt:lpstr>PRESUPUESTO (2)</vt:lpstr>
      <vt:lpstr>NOM</vt:lpstr>
      <vt:lpstr>ventas</vt:lpstr>
      <vt:lpstr>otros</vt:lpstr>
      <vt:lpstr>OFERTA ECONÓMICA PACIENTES</vt:lpstr>
      <vt:lpstr>OFERTA ECONÓMICA RESIDENTES</vt:lpstr>
      <vt:lpstr>OFERTA ECONÓMICA EVENTOS</vt:lpstr>
      <vt:lpstr>TARIFAS CAFETERÍA</vt:lpstr>
      <vt:lpstr>'OFERTA ECONÓMICA EVENTOS'!Área_de_impresión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Victor Andres Vargas Peña</cp:lastModifiedBy>
  <cp:lastPrinted>2022-05-19T13:51:07Z</cp:lastPrinted>
  <dcterms:created xsi:type="dcterms:W3CDTF">2021-03-06T03:36:02Z</dcterms:created>
  <dcterms:modified xsi:type="dcterms:W3CDTF">2025-04-12T02:11:32Z</dcterms:modified>
</cp:coreProperties>
</file>